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S:\_COMMUNICATIONS\Programs\Child Care and Facilities\Business of child care trainings\Web Ready BoCC Resource Materials\Per Child Cost Analysis\"/>
    </mc:Choice>
  </mc:AlternateContent>
  <xr:revisionPtr revIDLastSave="0" documentId="8_{7B4389FF-6417-4C77-A580-E2076B8F40B9}" xr6:coauthVersionLast="36" xr6:coauthVersionMax="36" xr10:uidLastSave="{00000000-0000-0000-0000-000000000000}"/>
  <bookViews>
    <workbookView xWindow="0" yWindow="0" windowWidth="21570" windowHeight="6840" tabRatio="727" activeTab="5" xr2:uid="{00000000-000D-0000-FFFF-FFFF00000000}"/>
  </bookViews>
  <sheets>
    <sheet name="Instructions" sheetId="9" r:id="rId1"/>
    <sheet name="Room Staffing" sheetId="5" r:id="rId2"/>
    <sheet name="All Other Expenses" sheetId="6" r:id="rId3"/>
    <sheet name="Child Care Tuition Rates" sheetId="7" r:id="rId4"/>
    <sheet name="Cost Analysis per Unit" sheetId="8" r:id="rId5"/>
    <sheet name="Breakeven" sheetId="1" r:id="rId6"/>
  </sheets>
  <definedNames>
    <definedName name="_xlnm.Print_Area" localSheetId="5">Breakeven!$A$1:$N$53</definedName>
    <definedName name="_xlnm.Print_Area" localSheetId="3">'Child Care Tuition Rates'!$A$1:$W$37</definedName>
    <definedName name="_xlnm.Print_Area" localSheetId="4">'Cost Analysis per Unit'!$A$1:$M$27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 i="6" l="1"/>
  <c r="E4" i="6"/>
  <c r="E5" i="6"/>
  <c r="E6" i="6"/>
  <c r="E7" i="6"/>
  <c r="E2" i="6"/>
  <c r="D76" i="5" l="1"/>
  <c r="D75" i="5"/>
  <c r="D74" i="5"/>
  <c r="D73" i="5"/>
  <c r="D66" i="5"/>
  <c r="D65" i="5"/>
  <c r="D64" i="5"/>
  <c r="D63" i="5"/>
  <c r="D56" i="5"/>
  <c r="D55" i="5"/>
  <c r="D54" i="5"/>
  <c r="D53" i="5"/>
  <c r="D46" i="5"/>
  <c r="D45" i="5"/>
  <c r="D44" i="5"/>
  <c r="D43" i="5"/>
  <c r="D36" i="5"/>
  <c r="D35" i="5"/>
  <c r="D34" i="5"/>
  <c r="D33" i="5"/>
  <c r="D26" i="5"/>
  <c r="F26" i="5" s="1"/>
  <c r="D25" i="5"/>
  <c r="F25" i="5" s="1"/>
  <c r="D24" i="5"/>
  <c r="F24" i="5" s="1"/>
  <c r="D23" i="5"/>
  <c r="F23" i="5" s="1"/>
  <c r="D16" i="5"/>
  <c r="D15" i="5"/>
  <c r="D14" i="5"/>
  <c r="D13" i="5"/>
  <c r="D4" i="5"/>
  <c r="D5" i="5"/>
  <c r="D6" i="5"/>
  <c r="D3" i="5"/>
  <c r="F74" i="5" l="1"/>
  <c r="F75" i="5"/>
  <c r="F76" i="5"/>
  <c r="F64" i="5"/>
  <c r="F65" i="5"/>
  <c r="F66" i="5"/>
  <c r="F54" i="5"/>
  <c r="F55" i="5"/>
  <c r="F56" i="5"/>
  <c r="F44" i="5"/>
  <c r="F45" i="5"/>
  <c r="F46" i="5"/>
  <c r="F34" i="5"/>
  <c r="F35" i="5"/>
  <c r="F36" i="5"/>
  <c r="F14" i="5"/>
  <c r="F15" i="5"/>
  <c r="F16" i="5"/>
  <c r="F4" i="5"/>
  <c r="F5" i="5"/>
  <c r="F6" i="5"/>
  <c r="A27" i="1" l="1"/>
  <c r="A10" i="7"/>
  <c r="A9" i="8" s="1"/>
  <c r="A20" i="8" s="1"/>
  <c r="A9" i="7"/>
  <c r="A8" i="8" s="1"/>
  <c r="A19" i="8" s="1"/>
  <c r="A8" i="7"/>
  <c r="E3" i="1" s="1"/>
  <c r="E27" i="1" s="1"/>
  <c r="A12" i="7"/>
  <c r="H27" i="1" s="1"/>
  <c r="A11" i="7"/>
  <c r="A22" i="7" s="1"/>
  <c r="A34" i="7" s="1"/>
  <c r="A7" i="7"/>
  <c r="A18" i="7" s="1"/>
  <c r="A30" i="7" s="1"/>
  <c r="A6" i="7"/>
  <c r="A5" i="8" s="1"/>
  <c r="A16" i="8" s="1"/>
  <c r="A5" i="7"/>
  <c r="A16" i="7" s="1"/>
  <c r="A28" i="7" s="1"/>
  <c r="A17" i="7" l="1"/>
  <c r="A29" i="7" s="1"/>
  <c r="B3" i="1"/>
  <c r="B27" i="1" s="1"/>
  <c r="A21" i="7"/>
  <c r="A33" i="7" s="1"/>
  <c r="A4" i="8"/>
  <c r="A15" i="8" s="1"/>
  <c r="A20" i="7"/>
  <c r="A32" i="7" s="1"/>
  <c r="C3" i="1"/>
  <c r="C27" i="1" s="1"/>
  <c r="G3" i="1"/>
  <c r="G27" i="1" s="1"/>
  <c r="A11" i="8"/>
  <c r="A22" i="8" s="1"/>
  <c r="A7" i="8"/>
  <c r="A18" i="8" s="1"/>
  <c r="A23" i="7"/>
  <c r="A35" i="7" s="1"/>
  <c r="A19" i="7"/>
  <c r="A31" i="7" s="1"/>
  <c r="D3" i="1"/>
  <c r="D27" i="1" s="1"/>
  <c r="H3" i="1"/>
  <c r="A10" i="8"/>
  <c r="A21" i="8" s="1"/>
  <c r="A6" i="8"/>
  <c r="A17" i="8" s="1"/>
  <c r="F3" i="1"/>
  <c r="F27" i="1" s="1"/>
  <c r="H13" i="6"/>
  <c r="H14" i="6"/>
  <c r="H15" i="6"/>
  <c r="H16" i="6"/>
  <c r="H12" i="6"/>
  <c r="H7" i="8" l="1"/>
  <c r="H6" i="8" l="1"/>
  <c r="H8" i="8"/>
  <c r="H9" i="8"/>
  <c r="H10" i="8"/>
  <c r="H11" i="8"/>
  <c r="H5" i="8"/>
  <c r="H4" i="8"/>
  <c r="H28" i="1" l="1"/>
  <c r="H4" i="1"/>
  <c r="G4" i="1"/>
  <c r="G28" i="1" s="1"/>
  <c r="F4" i="1"/>
  <c r="F28" i="1" s="1"/>
  <c r="E4" i="1"/>
  <c r="E28" i="1" s="1"/>
  <c r="D4" i="1"/>
  <c r="D28" i="1" s="1"/>
  <c r="C4" i="1"/>
  <c r="C28" i="1" s="1"/>
  <c r="B4" i="1"/>
  <c r="B28" i="1" s="1"/>
  <c r="W10" i="7"/>
  <c r="C9" i="8" s="1"/>
  <c r="W5" i="7"/>
  <c r="C4" i="8" s="1"/>
  <c r="W12" i="7"/>
  <c r="C11" i="8" s="1"/>
  <c r="W11" i="7"/>
  <c r="C10" i="8" s="1"/>
  <c r="W9" i="7"/>
  <c r="C8" i="8" s="1"/>
  <c r="W8" i="7"/>
  <c r="C7" i="8" s="1"/>
  <c r="W7" i="7"/>
  <c r="C6" i="8" s="1"/>
  <c r="W6" i="7"/>
  <c r="C5" i="8" s="1"/>
  <c r="I11" i="8"/>
  <c r="I41" i="1"/>
  <c r="M17" i="1" s="1"/>
  <c r="I40" i="1"/>
  <c r="M16" i="1" s="1"/>
  <c r="C28" i="7"/>
  <c r="B32" i="1" s="1"/>
  <c r="C33" i="7"/>
  <c r="G32" i="1" s="1"/>
  <c r="D28" i="7"/>
  <c r="E4" i="8" s="1"/>
  <c r="D33" i="7"/>
  <c r="E9" i="8" s="1"/>
  <c r="B9" i="8" s="1"/>
  <c r="B20" i="8" s="1"/>
  <c r="C20" i="8" s="1"/>
  <c r="G31" i="1" s="1"/>
  <c r="G46" i="1" s="1"/>
  <c r="A39" i="1"/>
  <c r="K39" i="1" s="1"/>
  <c r="A38" i="1"/>
  <c r="K38" i="1" s="1"/>
  <c r="A37" i="1"/>
  <c r="K37" i="1" s="1"/>
  <c r="A36" i="1"/>
  <c r="K36" i="1" s="1"/>
  <c r="A35" i="1"/>
  <c r="K35" i="1" s="1"/>
  <c r="I17" i="1"/>
  <c r="A15" i="1"/>
  <c r="K15" i="1" s="1"/>
  <c r="A14" i="1"/>
  <c r="K14" i="1" s="1"/>
  <c r="A13" i="1"/>
  <c r="K13" i="1" s="1"/>
  <c r="A12" i="1"/>
  <c r="K12" i="1" s="1"/>
  <c r="A11" i="1"/>
  <c r="K11" i="1" s="1"/>
  <c r="I16" i="1"/>
  <c r="L16" i="1" s="1"/>
  <c r="V13" i="7"/>
  <c r="T13" i="7"/>
  <c r="R13" i="7"/>
  <c r="P13" i="7"/>
  <c r="N13" i="7"/>
  <c r="L13" i="7"/>
  <c r="J13" i="7"/>
  <c r="H13" i="7"/>
  <c r="F13" i="7"/>
  <c r="D13" i="7"/>
  <c r="B13" i="7"/>
  <c r="K11" i="5"/>
  <c r="K43" i="1"/>
  <c r="K42" i="1"/>
  <c r="K41" i="1"/>
  <c r="K40" i="1"/>
  <c r="K34" i="1"/>
  <c r="G7" i="5"/>
  <c r="G17" i="5"/>
  <c r="G27" i="5"/>
  <c r="G37" i="5"/>
  <c r="G47" i="5"/>
  <c r="G57" i="5"/>
  <c r="H17" i="6"/>
  <c r="L17" i="1"/>
  <c r="C29" i="7"/>
  <c r="C32" i="1" s="1"/>
  <c r="C30" i="7"/>
  <c r="D8" i="1" s="1"/>
  <c r="C31" i="7"/>
  <c r="E32" i="1" s="1"/>
  <c r="C32" i="7"/>
  <c r="J8" i="8" s="1"/>
  <c r="I9" i="8"/>
  <c r="F9" i="8" s="1"/>
  <c r="D32" i="7"/>
  <c r="E8" i="8" s="1"/>
  <c r="G8" i="8" s="1"/>
  <c r="I8" i="8"/>
  <c r="F8" i="8" s="1"/>
  <c r="D31" i="7"/>
  <c r="E7" i="8" s="1"/>
  <c r="D7" i="8" s="1"/>
  <c r="E6" i="1" s="1"/>
  <c r="I7" i="8"/>
  <c r="F7" i="8" s="1"/>
  <c r="D30" i="7"/>
  <c r="E6" i="8" s="1"/>
  <c r="I6" i="8"/>
  <c r="D29" i="7"/>
  <c r="E5" i="8" s="1"/>
  <c r="D5" i="8" s="1"/>
  <c r="C30" i="1" s="1"/>
  <c r="I5" i="8"/>
  <c r="I4" i="8"/>
  <c r="I10" i="8"/>
  <c r="F73" i="5"/>
  <c r="G77" i="5"/>
  <c r="F63" i="5"/>
  <c r="G67" i="5"/>
  <c r="L41" i="1"/>
  <c r="M41" i="1"/>
  <c r="D35" i="7"/>
  <c r="E11" i="8" s="1"/>
  <c r="D11" i="8" s="1"/>
  <c r="H30" i="1" s="1"/>
  <c r="C35" i="7"/>
  <c r="H32" i="1" s="1"/>
  <c r="M32" i="1" s="1"/>
  <c r="D34" i="7"/>
  <c r="E10" i="8" s="1"/>
  <c r="D10" i="8" s="1"/>
  <c r="H6" i="1" s="1"/>
  <c r="C34" i="7"/>
  <c r="H8" i="1" s="1"/>
  <c r="L32" i="1" s="1"/>
  <c r="U23" i="7"/>
  <c r="S23" i="7"/>
  <c r="U22" i="7"/>
  <c r="S22" i="7"/>
  <c r="Q23" i="7"/>
  <c r="O23" i="7"/>
  <c r="M23" i="7"/>
  <c r="Q22" i="7"/>
  <c r="O22" i="7"/>
  <c r="M22" i="7"/>
  <c r="K23" i="7"/>
  <c r="K22" i="7"/>
  <c r="I23" i="7"/>
  <c r="I22" i="7"/>
  <c r="G23" i="7"/>
  <c r="G22" i="7"/>
  <c r="E23" i="7"/>
  <c r="E22" i="7"/>
  <c r="C23" i="7"/>
  <c r="C22" i="7"/>
  <c r="K19" i="1"/>
  <c r="K18" i="1"/>
  <c r="K17" i="1"/>
  <c r="K16" i="1"/>
  <c r="K10" i="1"/>
  <c r="K21" i="7"/>
  <c r="K20" i="7"/>
  <c r="K19" i="7"/>
  <c r="K18" i="7"/>
  <c r="K17" i="7"/>
  <c r="K16" i="7"/>
  <c r="H8" i="6"/>
  <c r="U21" i="7"/>
  <c r="U20" i="7"/>
  <c r="U19" i="7"/>
  <c r="U18" i="7"/>
  <c r="U17" i="7"/>
  <c r="U16" i="7"/>
  <c r="S21" i="7"/>
  <c r="S20" i="7"/>
  <c r="S19" i="7"/>
  <c r="S18" i="7"/>
  <c r="S17" i="7"/>
  <c r="S16" i="7"/>
  <c r="Q21" i="7"/>
  <c r="Q20" i="7"/>
  <c r="Q19" i="7"/>
  <c r="Q18" i="7"/>
  <c r="Q17" i="7"/>
  <c r="Q16" i="7"/>
  <c r="O21" i="7"/>
  <c r="O20" i="7"/>
  <c r="O19" i="7"/>
  <c r="O18" i="7"/>
  <c r="O17" i="7"/>
  <c r="O16" i="7"/>
  <c r="M21" i="7"/>
  <c r="M20" i="7"/>
  <c r="M19" i="7"/>
  <c r="M18" i="7"/>
  <c r="M17" i="7"/>
  <c r="M16" i="7"/>
  <c r="I21" i="7"/>
  <c r="I20" i="7"/>
  <c r="I19" i="7"/>
  <c r="I18" i="7"/>
  <c r="I17" i="7"/>
  <c r="I16" i="7"/>
  <c r="G21" i="7"/>
  <c r="G20" i="7"/>
  <c r="G19" i="7"/>
  <c r="G18" i="7"/>
  <c r="G17" i="7"/>
  <c r="G16" i="7"/>
  <c r="E21" i="7"/>
  <c r="E20" i="7"/>
  <c r="E19" i="7"/>
  <c r="E18" i="7"/>
  <c r="E17" i="7"/>
  <c r="E16" i="7"/>
  <c r="C21" i="7"/>
  <c r="C20" i="7"/>
  <c r="C19" i="7"/>
  <c r="C18" i="7"/>
  <c r="C17" i="7"/>
  <c r="C16" i="7"/>
  <c r="E8" i="1" l="1"/>
  <c r="F32" i="1"/>
  <c r="F43" i="5"/>
  <c r="F47" i="5" s="1"/>
  <c r="F48" i="5" s="1"/>
  <c r="F49" i="5" s="1"/>
  <c r="F50" i="5" s="1"/>
  <c r="G50" i="5" s="1"/>
  <c r="F33" i="5"/>
  <c r="N41" i="1"/>
  <c r="F53" i="5"/>
  <c r="J7" i="8"/>
  <c r="F27" i="5"/>
  <c r="F28" i="5" s="1"/>
  <c r="F67" i="5"/>
  <c r="F2" i="6"/>
  <c r="F13" i="5"/>
  <c r="F3" i="5"/>
  <c r="F7" i="6"/>
  <c r="F6" i="6"/>
  <c r="F4" i="6"/>
  <c r="F3" i="6"/>
  <c r="F5" i="6"/>
  <c r="N16" i="1"/>
  <c r="N17" i="1"/>
  <c r="D9" i="8"/>
  <c r="G6" i="1" s="1"/>
  <c r="E30" i="1"/>
  <c r="G9" i="8"/>
  <c r="J9" i="8"/>
  <c r="G7" i="1"/>
  <c r="G22" i="1" s="1"/>
  <c r="G8" i="1"/>
  <c r="F5" i="8"/>
  <c r="F4" i="8"/>
  <c r="F6" i="8"/>
  <c r="F10" i="8"/>
  <c r="F11" i="8"/>
  <c r="J11" i="8"/>
  <c r="B11" i="8" s="1"/>
  <c r="B22" i="8" s="1"/>
  <c r="C22" i="8" s="1"/>
  <c r="H31" i="1" s="1"/>
  <c r="L52" i="1" s="1"/>
  <c r="F77" i="5"/>
  <c r="F78" i="5" s="1"/>
  <c r="F79" i="5" s="1"/>
  <c r="F80" i="5" s="1"/>
  <c r="G80" i="5" s="1"/>
  <c r="H34" i="1" s="1"/>
  <c r="M34" i="1" s="1"/>
  <c r="I4" i="1"/>
  <c r="G29" i="1" s="1"/>
  <c r="G40" i="1" s="1"/>
  <c r="C6" i="1"/>
  <c r="W13" i="7"/>
  <c r="J10" i="8"/>
  <c r="B10" i="8" s="1"/>
  <c r="B21" i="8" s="1"/>
  <c r="C21" i="8" s="1"/>
  <c r="H7" i="1" s="1"/>
  <c r="D32" i="1"/>
  <c r="I32" i="1" s="1"/>
  <c r="C8" i="1"/>
  <c r="J5" i="8"/>
  <c r="B5" i="8" s="1"/>
  <c r="B16" i="8" s="1"/>
  <c r="C16" i="8" s="1"/>
  <c r="J4" i="8"/>
  <c r="B4" i="8" s="1"/>
  <c r="B15" i="8" s="1"/>
  <c r="C15" i="8" s="1"/>
  <c r="G7" i="6"/>
  <c r="E8" i="6"/>
  <c r="N32" i="1"/>
  <c r="B7" i="8"/>
  <c r="B18" i="8" s="1"/>
  <c r="C18" i="8" s="1"/>
  <c r="D6" i="8"/>
  <c r="D8" i="8"/>
  <c r="B8" i="8"/>
  <c r="B19" i="8" s="1"/>
  <c r="C19" i="8" s="1"/>
  <c r="G7" i="8"/>
  <c r="D4" i="8"/>
  <c r="I28" i="1"/>
  <c r="J6" i="8"/>
  <c r="B6" i="8" s="1"/>
  <c r="B17" i="8" s="1"/>
  <c r="C17" i="8" s="1"/>
  <c r="F8" i="1"/>
  <c r="B8" i="1"/>
  <c r="F57" i="5" l="1"/>
  <c r="F58" i="5" s="1"/>
  <c r="F59" i="5" s="1"/>
  <c r="F60" i="5" s="1"/>
  <c r="G60" i="5" s="1"/>
  <c r="G10" i="1" s="1"/>
  <c r="F7" i="5"/>
  <c r="F8" i="5" s="1"/>
  <c r="F9" i="5" s="1"/>
  <c r="F10" i="5" s="1"/>
  <c r="G10" i="5" s="1"/>
  <c r="B34" i="1" s="1"/>
  <c r="F37" i="5"/>
  <c r="F38" i="5" s="1"/>
  <c r="F39" i="5" s="1"/>
  <c r="F40" i="5" s="1"/>
  <c r="G40" i="5" s="1"/>
  <c r="E34" i="1" s="1"/>
  <c r="F17" i="5"/>
  <c r="F18" i="5" s="1"/>
  <c r="G5" i="6"/>
  <c r="G2" i="6"/>
  <c r="G6" i="6"/>
  <c r="I7" i="6"/>
  <c r="F8" i="6"/>
  <c r="G3" i="6"/>
  <c r="G4" i="6"/>
  <c r="G30" i="1"/>
  <c r="F10" i="1"/>
  <c r="F34" i="1"/>
  <c r="I29" i="1"/>
  <c r="E29" i="1"/>
  <c r="E40" i="1" s="1"/>
  <c r="D29" i="1"/>
  <c r="D40" i="1" s="1"/>
  <c r="C29" i="1"/>
  <c r="C40" i="1" s="1"/>
  <c r="H29" i="1"/>
  <c r="H40" i="1" s="1"/>
  <c r="M40" i="1" s="1"/>
  <c r="E5" i="1"/>
  <c r="F29" i="1"/>
  <c r="F40" i="1" s="1"/>
  <c r="D5" i="1"/>
  <c r="I5" i="1"/>
  <c r="H5" i="1"/>
  <c r="G5" i="1"/>
  <c r="C5" i="1"/>
  <c r="F5" i="1"/>
  <c r="B5" i="1"/>
  <c r="B29" i="1"/>
  <c r="B40" i="1" s="1"/>
  <c r="C7" i="1"/>
  <c r="C31" i="1"/>
  <c r="F29" i="5"/>
  <c r="F30" i="5" s="1"/>
  <c r="G30" i="5" s="1"/>
  <c r="D34" i="1" s="1"/>
  <c r="D7" i="1"/>
  <c r="D31" i="1"/>
  <c r="F7" i="1"/>
  <c r="F22" i="1" s="1"/>
  <c r="F31" i="1"/>
  <c r="F46" i="1" s="1"/>
  <c r="E31" i="1"/>
  <c r="E46" i="1" s="1"/>
  <c r="E7" i="1"/>
  <c r="E22" i="1" s="1"/>
  <c r="B7" i="1"/>
  <c r="B31" i="1"/>
  <c r="F68" i="5"/>
  <c r="F69" i="5" s="1"/>
  <c r="F70" i="5" s="1"/>
  <c r="G70" i="5" s="1"/>
  <c r="H10" i="1" s="1"/>
  <c r="F30" i="1"/>
  <c r="F6" i="1"/>
  <c r="I8" i="1"/>
  <c r="L8" i="1" s="1"/>
  <c r="B30" i="1"/>
  <c r="B6" i="1"/>
  <c r="M8" i="1"/>
  <c r="D6" i="1"/>
  <c r="D30" i="1"/>
  <c r="E10" i="1" l="1"/>
  <c r="G34" i="1"/>
  <c r="B10" i="1"/>
  <c r="F19" i="5"/>
  <c r="F20" i="5" s="1"/>
  <c r="G20" i="5" s="1"/>
  <c r="C10" i="1" s="1"/>
  <c r="I5" i="6"/>
  <c r="I14" i="1" s="1"/>
  <c r="I2" i="6"/>
  <c r="I6" i="6"/>
  <c r="I4" i="6"/>
  <c r="G8" i="6"/>
  <c r="I8" i="6" s="1"/>
  <c r="I3" i="6"/>
  <c r="I6" i="1"/>
  <c r="B16" i="1"/>
  <c r="H16" i="1"/>
  <c r="L40" i="1" s="1"/>
  <c r="N40" i="1" s="1"/>
  <c r="E16" i="1"/>
  <c r="F16" i="1"/>
  <c r="G16" i="1"/>
  <c r="C16" i="1"/>
  <c r="D16" i="1"/>
  <c r="D10" i="1"/>
  <c r="L34" i="1"/>
  <c r="I30" i="1"/>
  <c r="C34" i="1" l="1"/>
  <c r="I34" i="1" s="1"/>
  <c r="M10" i="1" s="1"/>
  <c r="I10" i="1"/>
  <c r="L10" i="1" s="1"/>
  <c r="L14" i="1"/>
  <c r="D14" i="1"/>
  <c r="H14" i="1"/>
  <c r="L38" i="1" s="1"/>
  <c r="F14" i="1"/>
  <c r="G14" i="1"/>
  <c r="I38" i="1"/>
  <c r="C14" i="1"/>
  <c r="E14" i="1"/>
  <c r="B14" i="1"/>
  <c r="I11" i="1"/>
  <c r="I35" i="1"/>
  <c r="I15" i="1"/>
  <c r="I39" i="1"/>
  <c r="I37" i="1"/>
  <c r="I13" i="1"/>
  <c r="I12" i="1"/>
  <c r="I36" i="1"/>
  <c r="N8" i="1"/>
  <c r="N34" i="1"/>
  <c r="F38" i="1" l="1"/>
  <c r="B38" i="1"/>
  <c r="M14" i="1"/>
  <c r="N14" i="1" s="1"/>
  <c r="G38" i="1"/>
  <c r="C38" i="1"/>
  <c r="E38" i="1"/>
  <c r="D38" i="1"/>
  <c r="H38" i="1"/>
  <c r="M38" i="1" s="1"/>
  <c r="N38" i="1" s="1"/>
  <c r="E35" i="1"/>
  <c r="D35" i="1"/>
  <c r="F35" i="1"/>
  <c r="C35" i="1"/>
  <c r="G35" i="1"/>
  <c r="M11" i="1"/>
  <c r="H35" i="1"/>
  <c r="M35" i="1" s="1"/>
  <c r="B35" i="1"/>
  <c r="B11" i="1"/>
  <c r="H11" i="1"/>
  <c r="L35" i="1" s="1"/>
  <c r="L11" i="1"/>
  <c r="E11" i="1"/>
  <c r="G11" i="1"/>
  <c r="C11" i="1"/>
  <c r="D11" i="1"/>
  <c r="F11" i="1"/>
  <c r="G39" i="1"/>
  <c r="M15" i="1"/>
  <c r="C39" i="1"/>
  <c r="D39" i="1"/>
  <c r="H39" i="1"/>
  <c r="M39" i="1" s="1"/>
  <c r="B39" i="1"/>
  <c r="E39" i="1"/>
  <c r="F39" i="1"/>
  <c r="F15" i="1"/>
  <c r="L15" i="1"/>
  <c r="N15" i="1" s="1"/>
  <c r="D15" i="1"/>
  <c r="G15" i="1"/>
  <c r="B15" i="1"/>
  <c r="H15" i="1"/>
  <c r="L39" i="1" s="1"/>
  <c r="C15" i="1"/>
  <c r="E15" i="1"/>
  <c r="E13" i="1"/>
  <c r="F13" i="1"/>
  <c r="H13" i="1"/>
  <c r="L37" i="1" s="1"/>
  <c r="B13" i="1"/>
  <c r="L13" i="1"/>
  <c r="D13" i="1"/>
  <c r="G13" i="1"/>
  <c r="C13" i="1"/>
  <c r="H36" i="1"/>
  <c r="B36" i="1"/>
  <c r="C36" i="1"/>
  <c r="D36" i="1"/>
  <c r="M12" i="1"/>
  <c r="E36" i="1"/>
  <c r="G36" i="1"/>
  <c r="F36" i="1"/>
  <c r="C37" i="1"/>
  <c r="F37" i="1"/>
  <c r="H37" i="1"/>
  <c r="M37" i="1" s="1"/>
  <c r="E37" i="1"/>
  <c r="G37" i="1"/>
  <c r="B37" i="1"/>
  <c r="D37" i="1"/>
  <c r="M13" i="1"/>
  <c r="G12" i="1"/>
  <c r="C12" i="1"/>
  <c r="H12" i="1"/>
  <c r="D12" i="1"/>
  <c r="E12" i="1"/>
  <c r="L12" i="1"/>
  <c r="B12" i="1"/>
  <c r="F12" i="1"/>
  <c r="N10" i="1"/>
  <c r="N39" i="1" l="1"/>
  <c r="N35" i="1"/>
  <c r="N11" i="1"/>
  <c r="L36" i="1"/>
  <c r="N12" i="1"/>
  <c r="N37" i="1"/>
  <c r="M36" i="1"/>
  <c r="N13" i="1"/>
  <c r="N36" i="1" l="1"/>
  <c r="B37" i="6" l="1"/>
  <c r="I42" i="1" l="1"/>
  <c r="I18" i="1"/>
  <c r="E18" i="1" s="1"/>
  <c r="E19" i="1" s="1"/>
  <c r="E42" i="1"/>
  <c r="E43" i="1" s="1"/>
  <c r="E44" i="1" s="1"/>
  <c r="F42" i="1"/>
  <c r="F43" i="1" s="1"/>
  <c r="F44" i="1" s="1"/>
  <c r="B42" i="1"/>
  <c r="B43" i="1" s="1"/>
  <c r="C42" i="1"/>
  <c r="C43" i="1" s="1"/>
  <c r="D42" i="1"/>
  <c r="D43" i="1" s="1"/>
  <c r="H42" i="1"/>
  <c r="M18" i="1"/>
  <c r="M19" i="1" s="1"/>
  <c r="M20" i="1" s="1"/>
  <c r="G42" i="1"/>
  <c r="G43" i="1" s="1"/>
  <c r="G44" i="1" s="1"/>
  <c r="I43" i="1"/>
  <c r="I44" i="1" s="1"/>
  <c r="F18" i="1"/>
  <c r="F19" i="1" s="1"/>
  <c r="I19" i="1"/>
  <c r="I20" i="1" s="1"/>
  <c r="L18" i="1"/>
  <c r="C18" i="1"/>
  <c r="C19" i="1" s="1"/>
  <c r="D18" i="1"/>
  <c r="D19" i="1" s="1"/>
  <c r="H18" i="1"/>
  <c r="G18" i="1"/>
  <c r="G19" i="1" s="1"/>
  <c r="B18" i="1"/>
  <c r="B19" i="1" s="1"/>
  <c r="B20" i="1" l="1"/>
  <c r="B22" i="1"/>
  <c r="K4" i="8"/>
  <c r="F20" i="1"/>
  <c r="K8" i="8"/>
  <c r="L8" i="8" s="1"/>
  <c r="M8" i="8" s="1"/>
  <c r="D44" i="1"/>
  <c r="D46" i="1"/>
  <c r="C44" i="1"/>
  <c r="C46" i="1"/>
  <c r="K5" i="8"/>
  <c r="C22" i="1"/>
  <c r="C20" i="1"/>
  <c r="M42" i="1"/>
  <c r="M43" i="1" s="1"/>
  <c r="M44" i="1" s="1"/>
  <c r="H43" i="1"/>
  <c r="G20" i="1"/>
  <c r="K9" i="8"/>
  <c r="L9" i="8" s="1"/>
  <c r="M9" i="8" s="1"/>
  <c r="L42" i="1"/>
  <c r="L43" i="1" s="1"/>
  <c r="L44" i="1" s="1"/>
  <c r="L47" i="1" s="1"/>
  <c r="L49" i="1" s="1"/>
  <c r="H19" i="1"/>
  <c r="K6" i="8"/>
  <c r="D22" i="1"/>
  <c r="D20" i="1"/>
  <c r="E20" i="1"/>
  <c r="K7" i="8"/>
  <c r="L7" i="8" s="1"/>
  <c r="M7" i="8" s="1"/>
  <c r="B44" i="1"/>
  <c r="B46" i="1"/>
  <c r="N18" i="1"/>
  <c r="N19" i="1" s="1"/>
  <c r="N20" i="1" s="1"/>
  <c r="L19" i="1"/>
  <c r="L20" i="1" s="1"/>
  <c r="L6" i="8" l="1"/>
  <c r="M6" i="8" s="1"/>
  <c r="G6" i="8"/>
  <c r="L4" i="8"/>
  <c r="M4" i="8" s="1"/>
  <c r="G4" i="8"/>
  <c r="N42" i="1"/>
  <c r="N43" i="1" s="1"/>
  <c r="N44" i="1" s="1"/>
  <c r="H22" i="1"/>
  <c r="K10" i="8"/>
  <c r="H20" i="1"/>
  <c r="L50" i="1"/>
  <c r="L51" i="1" s="1"/>
  <c r="L53" i="1" s="1"/>
  <c r="K11" i="8"/>
  <c r="H44" i="1"/>
  <c r="H46" i="1"/>
  <c r="L5" i="8"/>
  <c r="M5" i="8" s="1"/>
  <c r="G5" i="8"/>
  <c r="L11" i="8" l="1"/>
  <c r="M11" i="8" s="1"/>
  <c r="G11" i="8"/>
  <c r="L10" i="8"/>
  <c r="M10" i="8" s="1"/>
  <c r="G10" i="8"/>
</calcChain>
</file>

<file path=xl/sharedStrings.xml><?xml version="1.0" encoding="utf-8"?>
<sst xmlns="http://schemas.openxmlformats.org/spreadsheetml/2006/main" count="326" uniqueCount="176">
  <si>
    <t>Total</t>
  </si>
  <si>
    <t>Licensed Capacity</t>
  </si>
  <si>
    <t>Share of Total Enrollment</t>
  </si>
  <si>
    <t>Monthly Tuition per Child</t>
  </si>
  <si>
    <t>Total Monthly Tuition Income</t>
  </si>
  <si>
    <t>Child Care Wages and Benefits</t>
  </si>
  <si>
    <t>Total Expenses</t>
  </si>
  <si>
    <t>Net Income</t>
  </si>
  <si>
    <t>No. of Kids Needed to Breakeven</t>
  </si>
  <si>
    <t>Total Expenses / Monthly Tuition</t>
  </si>
  <si>
    <t xml:space="preserve"> </t>
  </si>
  <si>
    <t>hours/week</t>
  </si>
  <si>
    <t>Wage</t>
  </si>
  <si>
    <t>Annual</t>
  </si>
  <si>
    <t>hours/year</t>
  </si>
  <si>
    <t>Per month</t>
  </si>
  <si>
    <t>Occupancy</t>
  </si>
  <si>
    <t>Annualized Income and Expenses</t>
  </si>
  <si>
    <t>Benefits:</t>
  </si>
  <si>
    <t>FICA</t>
  </si>
  <si>
    <t>SUTA</t>
  </si>
  <si>
    <t>FUTA</t>
  </si>
  <si>
    <t>Health/Dental</t>
  </si>
  <si>
    <t>Retirement</t>
  </si>
  <si>
    <t>Other</t>
  </si>
  <si>
    <t>Food</t>
  </si>
  <si>
    <t>Office Expenses</t>
  </si>
  <si>
    <t>Postage</t>
  </si>
  <si>
    <t>Printing</t>
  </si>
  <si>
    <t>Maintenance</t>
  </si>
  <si>
    <t>Real Estate Taxes</t>
  </si>
  <si>
    <t xml:space="preserve">Rent or Mortgage </t>
  </si>
  <si>
    <t>Insurance</t>
  </si>
  <si>
    <t>Utilities</t>
  </si>
  <si>
    <t>Cleaning</t>
  </si>
  <si>
    <t>Advertising/Marketing</t>
  </si>
  <si>
    <t>Transportation</t>
  </si>
  <si>
    <t>Accounting/Legal</t>
  </si>
  <si>
    <t>Staff Development</t>
  </si>
  <si>
    <t>Miscellaneous</t>
  </si>
  <si>
    <t>Average of Typical Monthly Expenses/Payments</t>
  </si>
  <si>
    <t>Tuition:</t>
  </si>
  <si>
    <t>Rate</t>
  </si>
  <si>
    <t>A</t>
  </si>
  <si>
    <t>B</t>
  </si>
  <si>
    <t>C</t>
  </si>
  <si>
    <t>D</t>
  </si>
  <si>
    <t>E</t>
  </si>
  <si>
    <t>F</t>
  </si>
  <si>
    <t>G</t>
  </si>
  <si>
    <t>H</t>
  </si>
  <si>
    <t>I</t>
  </si>
  <si>
    <t>J</t>
  </si>
  <si>
    <t>K</t>
  </si>
  <si>
    <t>L</t>
  </si>
  <si>
    <t>Units Used</t>
  </si>
  <si>
    <t>% Utilitzation</t>
  </si>
  <si>
    <t>Cost per unit at Current Enrollment</t>
  </si>
  <si>
    <t>LC in # of Units</t>
  </si>
  <si>
    <t>Current Group Revenue/ Week</t>
  </si>
  <si>
    <t>Current Group Expense/ Week</t>
  </si>
  <si>
    <t>Weekly profit/(loss) per Group</t>
  </si>
  <si>
    <t>Annual profit/ (loss) per group</t>
  </si>
  <si>
    <t>Monthly Benefits</t>
  </si>
  <si>
    <t xml:space="preserve">   Aide</t>
  </si>
  <si>
    <t>No. of Weeks</t>
  </si>
  <si>
    <t>Bank Service Charges</t>
  </si>
  <si>
    <t>Licenses</t>
  </si>
  <si>
    <t>Payroll Processing</t>
  </si>
  <si>
    <t>Special Needs</t>
  </si>
  <si>
    <t># Enrolled</t>
  </si>
  <si>
    <t>Price/Unit</t>
  </si>
  <si>
    <t>Revenue Per Week</t>
  </si>
  <si>
    <t>Monthly</t>
  </si>
  <si>
    <t>FTE Children Currently Enrolled</t>
  </si>
  <si>
    <t>5 full days</t>
  </si>
  <si>
    <t>4 full days</t>
  </si>
  <si>
    <t>3 full days</t>
  </si>
  <si>
    <t>2 full days</t>
  </si>
  <si>
    <t>5 ½ days</t>
  </si>
  <si>
    <t>4 ½ days</t>
  </si>
  <si>
    <t>3  ½ days</t>
  </si>
  <si>
    <t>2 ½ days</t>
  </si>
  <si>
    <t>1 ½ Day</t>
  </si>
  <si>
    <t>No. of ½ Day Units</t>
  </si>
  <si>
    <t>All Other Expenses</t>
  </si>
  <si>
    <t>Teacher Tuition Discounts</t>
  </si>
  <si>
    <t xml:space="preserve">   Assistant Teacher</t>
  </si>
  <si>
    <t xml:space="preserve">   Lead Teacher</t>
  </si>
  <si>
    <t xml:space="preserve">   Teacher</t>
  </si>
  <si>
    <t>Other Staff</t>
  </si>
  <si>
    <t xml:space="preserve">Payroll Taxes </t>
  </si>
  <si>
    <t>Other Monthly Benefits</t>
  </si>
  <si>
    <t>% of wages</t>
  </si>
  <si>
    <t>Total Monthly Cost</t>
  </si>
  <si>
    <t>Current Ave. Tuition/Unit (half day, one day per week)</t>
  </si>
  <si>
    <t xml:space="preserve">Current Number of Children Enrolled </t>
  </si>
  <si>
    <t>FTE Children Enrolled</t>
  </si>
  <si>
    <t>Current Ave. Weekly Tuition</t>
  </si>
  <si>
    <t>Average Monthly Tuition</t>
  </si>
  <si>
    <t>Instructions:</t>
  </si>
  <si>
    <t>Classroom</t>
  </si>
  <si>
    <t>M</t>
  </si>
  <si>
    <t>1 full day</t>
  </si>
  <si>
    <t>E ÷ I</t>
  </si>
  <si>
    <t>K ÷ E</t>
  </si>
  <si>
    <t>H * 5 days/ week * 2 periods/day</t>
  </si>
  <si>
    <t>J ÷ E</t>
  </si>
  <si>
    <r>
      <t xml:space="preserve">(From </t>
    </r>
    <r>
      <rPr>
        <b/>
        <sz val="10"/>
        <color indexed="10"/>
        <rFont val="Arial"/>
        <family val="2"/>
      </rPr>
      <t xml:space="preserve">Breakeven </t>
    </r>
    <r>
      <rPr>
        <b/>
        <sz val="10"/>
        <rFont val="Arial"/>
        <family val="2"/>
      </rPr>
      <t>Worksheet)</t>
    </r>
  </si>
  <si>
    <t>J - K</t>
  </si>
  <si>
    <t>L * 52 weeks/ year</t>
  </si>
  <si>
    <r>
      <t xml:space="preserve">6.  Proceed to the </t>
    </r>
    <r>
      <rPr>
        <b/>
        <sz val="10"/>
        <color indexed="10"/>
        <rFont val="Arial"/>
        <family val="2"/>
      </rPr>
      <t>Breakeven</t>
    </r>
    <r>
      <rPr>
        <sz val="10"/>
        <rFont val="Arial"/>
        <family val="2"/>
      </rPr>
      <t xml:space="preserve"> worksheet.  Enter the data for licensed capacity and teacher child care discounts (if applicable).  Make any changes to classroom names and expense categories that are highlighted.  All other information should automatically calculate for you.</t>
    </r>
  </si>
  <si>
    <t>Before/After School</t>
  </si>
  <si>
    <t>Summer School Age</t>
  </si>
  <si>
    <t>Quick and Dirty Breakeven - Before and After</t>
  </si>
  <si>
    <t>Quick and Dirty Breakeven - Summer School Age</t>
  </si>
  <si>
    <t>Annualized Income and Expenses (School Age Only)</t>
  </si>
  <si>
    <t>School Year - 9 mos</t>
  </si>
  <si>
    <t>Summer - 3 mos</t>
  </si>
  <si>
    <t>Number of Summer School Aged Children Needed for Breakeven:</t>
  </si>
  <si>
    <t>Monthly summer profit to be earned to offset school year loss</t>
  </si>
  <si>
    <t>Summer School Age Monthly Expenses</t>
  </si>
  <si>
    <t>Monthly Summer Tuition/Child</t>
  </si>
  <si>
    <t>Summer School Age Breakeven</t>
  </si>
  <si>
    <t>Before/After School Profit/Loss</t>
  </si>
  <si>
    <t>* Because of teacher ratios and other reasons, some center directors consider a room full at levels lower than what the room is licensed for.  If this applies to your center, use the number you consider as your capacity when determining your licensed capacity.</t>
  </si>
  <si>
    <t>Classroom #4</t>
  </si>
  <si>
    <t>Classroom #5</t>
  </si>
  <si>
    <t>Classroom #6</t>
  </si>
  <si>
    <t>Limitations:</t>
  </si>
  <si>
    <t xml:space="preserve">The breakeven analysis worksheet will not adjust for licensing requirements for teacher-child ratios or group size. </t>
  </si>
  <si>
    <t>The worksheet does not take into account fundraising.</t>
  </si>
  <si>
    <t xml:space="preserve">The worksheet assumes monthly expenses are fixed.  If monthly expenses change, the classroom breakeven may change. </t>
  </si>
  <si>
    <r>
      <t xml:space="preserve">5.  Proceed to the </t>
    </r>
    <r>
      <rPr>
        <b/>
        <sz val="10"/>
        <color indexed="15"/>
        <rFont val="Arial"/>
        <family val="2"/>
      </rPr>
      <t>Cost Analysis per Unit</t>
    </r>
    <r>
      <rPr>
        <sz val="10"/>
        <rFont val="Arial"/>
        <family val="2"/>
      </rPr>
      <t xml:space="preserve"> worksheet.  Enter your current enrollment and licensed capacity for each classroom.  All other information should automatically calculate for you.  NOTE: Column K (Current Group Expense / Week) is taken from the </t>
    </r>
    <r>
      <rPr>
        <b/>
        <sz val="10"/>
        <color indexed="10"/>
        <rFont val="Arial"/>
        <family val="2"/>
      </rPr>
      <t>Breakeven</t>
    </r>
    <r>
      <rPr>
        <sz val="10"/>
        <color indexed="10"/>
        <rFont val="Arial"/>
        <family val="2"/>
      </rPr>
      <t xml:space="preserve"> </t>
    </r>
    <r>
      <rPr>
        <sz val="10"/>
        <rFont val="Arial"/>
        <family val="2"/>
      </rPr>
      <t xml:space="preserve">worksheet.  You will have to complete that part of the </t>
    </r>
    <r>
      <rPr>
        <b/>
        <sz val="10"/>
        <color indexed="10"/>
        <rFont val="Arial"/>
        <family val="2"/>
      </rPr>
      <t xml:space="preserve">Breakeven </t>
    </r>
    <r>
      <rPr>
        <sz val="10"/>
        <rFont val="Arial"/>
        <family val="2"/>
      </rPr>
      <t>worksheet first.</t>
    </r>
  </si>
  <si>
    <t xml:space="preserve">   Other</t>
  </si>
  <si>
    <t>Dues and Subscriptions</t>
  </si>
  <si>
    <t>Art/Music/Language Classes</t>
  </si>
  <si>
    <t>Tuition Discounts/Scholarships</t>
  </si>
  <si>
    <t xml:space="preserve">Monthly Payroll Taxes </t>
  </si>
  <si>
    <t>Footnotes:  (a) Total Annual Tuition (Column M) is based on the 9 months of the school year or 36 weeks.</t>
  </si>
  <si>
    <t xml:space="preserve">                  (b) Total Annual Tuition (Column M) is based on the 3 months of the summer or 12 weeks.</t>
  </si>
  <si>
    <r>
      <t xml:space="preserve">(From </t>
    </r>
    <r>
      <rPr>
        <b/>
        <sz val="10"/>
        <color indexed="14"/>
        <rFont val="Arial"/>
        <family val="2"/>
      </rPr>
      <t xml:space="preserve">Child Care Tuition Rates </t>
    </r>
    <r>
      <rPr>
        <b/>
        <sz val="10"/>
        <rFont val="Arial"/>
        <family val="2"/>
      </rPr>
      <t>Worksheet)</t>
    </r>
  </si>
  <si>
    <t>Center Name</t>
  </si>
  <si>
    <t>Occupancy (Rent and Utilities)</t>
  </si>
  <si>
    <r>
      <t xml:space="preserve">3. Continue working on the </t>
    </r>
    <r>
      <rPr>
        <b/>
        <sz val="10"/>
        <color indexed="17"/>
        <rFont val="Arial"/>
        <family val="2"/>
      </rPr>
      <t>All Other Expenses</t>
    </r>
    <r>
      <rPr>
        <sz val="10"/>
        <rFont val="Arial"/>
        <family val="2"/>
      </rPr>
      <t xml:space="preserve"> worksheet and enter the typical or average monthly expense for each expense line item.</t>
    </r>
  </si>
  <si>
    <r>
      <t xml:space="preserve">4.  Now proceed to the </t>
    </r>
    <r>
      <rPr>
        <b/>
        <sz val="10"/>
        <color indexed="14"/>
        <rFont val="Arial"/>
        <family val="2"/>
      </rPr>
      <t>Child Care Tuition Rates</t>
    </r>
    <r>
      <rPr>
        <sz val="10"/>
        <rFont val="Arial"/>
        <family val="2"/>
      </rPr>
      <t xml:space="preserve"> worksheet.  This is the most complicated worksheet to complete.  The worksheet allows you to enter tuition rates for 10 different child care rates per classroom (from 1 to 5 full days, and 1 to 5 half days.)  First, enter your licensed capacity</t>
    </r>
    <r>
      <rPr>
        <b/>
        <sz val="12"/>
        <rFont val="Arial"/>
        <family val="2"/>
      </rPr>
      <t>*</t>
    </r>
    <r>
      <rPr>
        <sz val="10"/>
        <rFont val="Arial"/>
        <family val="2"/>
      </rPr>
      <t xml:space="preserve"> for each classroom.  </t>
    </r>
    <r>
      <rPr>
        <b/>
        <sz val="10"/>
        <rFont val="Arial"/>
        <family val="2"/>
      </rPr>
      <t xml:space="preserve">Make sure you do not forget to fill in your licensed capacity in this worksheet.  If you don't, the other worksheets will not calculate properly.  </t>
    </r>
    <r>
      <rPr>
        <sz val="10"/>
        <rFont val="Arial"/>
        <family val="2"/>
      </rPr>
      <t xml:space="preserve">Then enter each of your child care rates for each classroom and the number of children enrolled for each rate.  This worksheet will automatically calculate the weekly revenue in each classroom and the number of units used. </t>
    </r>
    <r>
      <rPr>
        <b/>
        <sz val="10"/>
        <rFont val="Arial"/>
        <family val="2"/>
      </rPr>
      <t xml:space="preserve"> Each unit is defined as one half-day of care. </t>
    </r>
  </si>
  <si>
    <t>Total Tuition Income</t>
  </si>
  <si>
    <t>CAUTION:  DO NOT DELETE ANY ROWS OR COLUMNS AND DO NOT OVERWRITE ANY FORMULAS IN THE ATTACHED SHEETS.</t>
  </si>
  <si>
    <r>
      <t xml:space="preserve">1. Start with the </t>
    </r>
    <r>
      <rPr>
        <b/>
        <sz val="10"/>
        <color indexed="12"/>
        <rFont val="Arial"/>
        <family val="2"/>
      </rPr>
      <t>Room Staffing</t>
    </r>
    <r>
      <rPr>
        <sz val="10"/>
        <rFont val="Arial"/>
        <family val="2"/>
      </rPr>
      <t xml:space="preserve"> worksheet.  Enter the job titles or names of each classroom staff, their weekly hours, and hourly rate.  Figure out your payroll tax rate (FICA, Medicare, SUTA, FUTA).  </t>
    </r>
    <r>
      <rPr>
        <b/>
        <sz val="10"/>
        <rFont val="Arial"/>
        <family val="2"/>
      </rPr>
      <t xml:space="preserve">NOTE: Enter any benefits you pay staff </t>
    </r>
    <r>
      <rPr>
        <b/>
        <i/>
        <u/>
        <sz val="10"/>
        <rFont val="Arial"/>
        <family val="2"/>
      </rPr>
      <t>EITHER</t>
    </r>
    <r>
      <rPr>
        <b/>
        <sz val="10"/>
        <rFont val="Arial"/>
        <family val="2"/>
      </rPr>
      <t xml:space="preserve"> as a percentage of wages </t>
    </r>
    <r>
      <rPr>
        <b/>
        <i/>
        <u/>
        <sz val="10"/>
        <rFont val="Arial"/>
        <family val="2"/>
      </rPr>
      <t>OR</t>
    </r>
    <r>
      <rPr>
        <sz val="10"/>
        <rFont val="Arial"/>
        <family val="2"/>
      </rPr>
      <t xml:space="preserve"> </t>
    </r>
    <r>
      <rPr>
        <b/>
        <sz val="10"/>
        <rFont val="Arial"/>
        <family val="2"/>
      </rPr>
      <t>as a monthly dollar amount in column F.</t>
    </r>
  </si>
  <si>
    <r>
      <t xml:space="preserve">2. Then proceed to the </t>
    </r>
    <r>
      <rPr>
        <b/>
        <sz val="10"/>
        <color indexed="17"/>
        <rFont val="Arial"/>
        <family val="2"/>
      </rPr>
      <t>All Other Expenses</t>
    </r>
    <r>
      <rPr>
        <sz val="10"/>
        <rFont val="Arial"/>
        <family val="2"/>
      </rPr>
      <t xml:space="preserve"> worksheet.  Enter the job titles or names of non-classroom staff (such as the Director, Cook, Assistant Director, and so on), the number of weeks a year each works, and their weekly salaries.  Here you can also include classroom staff that float among </t>
    </r>
    <r>
      <rPr>
        <b/>
        <u/>
        <sz val="10"/>
        <rFont val="Arial"/>
        <family val="2"/>
      </rPr>
      <t>all</t>
    </r>
    <r>
      <rPr>
        <sz val="10"/>
        <rFont val="Arial"/>
        <family val="2"/>
      </rPr>
      <t xml:space="preserve"> your classrooms (for example during breaks and prep time.)  Figure out your payroll tax rate (FICA, Medicare, SUTA, FUTA).  </t>
    </r>
    <r>
      <rPr>
        <b/>
        <sz val="10"/>
        <rFont val="Arial"/>
        <family val="2"/>
      </rPr>
      <t xml:space="preserve">NOTE: Enter any benefits you pay staff </t>
    </r>
    <r>
      <rPr>
        <b/>
        <i/>
        <u/>
        <sz val="10"/>
        <rFont val="Arial"/>
        <family val="2"/>
      </rPr>
      <t>EITHER</t>
    </r>
    <r>
      <rPr>
        <b/>
        <sz val="10"/>
        <rFont val="Arial"/>
        <family val="2"/>
      </rPr>
      <t xml:space="preserve"> as a percentage of wages </t>
    </r>
    <r>
      <rPr>
        <b/>
        <i/>
        <u/>
        <sz val="10"/>
        <rFont val="Arial"/>
        <family val="2"/>
      </rPr>
      <t>OR</t>
    </r>
    <r>
      <rPr>
        <b/>
        <sz val="10"/>
        <rFont val="Arial"/>
        <family val="2"/>
      </rPr>
      <t xml:space="preserve"> as a monthly dollar amount in column F.</t>
    </r>
  </si>
  <si>
    <t xml:space="preserve">Generally, you should only have to complete the cells that are highlighted in Light Turqoise.  </t>
  </si>
  <si>
    <t xml:space="preserve">www.firstchildrensfinance.org </t>
  </si>
  <si>
    <t>1-866-562-6801</t>
  </si>
  <si>
    <t>Copyright © 2011 First Children’s Finance</t>
  </si>
  <si>
    <t xml:space="preserve">   Assistant Teacher 1</t>
  </si>
  <si>
    <t xml:space="preserve">   Assistant Teacher 2</t>
  </si>
  <si>
    <t>Infant Room</t>
  </si>
  <si>
    <t>Toddler Room</t>
  </si>
  <si>
    <t>Pre-school Room</t>
  </si>
  <si>
    <t>Telephone/Internet</t>
  </si>
  <si>
    <t>Program/Curriculum Supplies</t>
  </si>
  <si>
    <t xml:space="preserve">Building/Equipment Repairs </t>
  </si>
  <si>
    <t>Footnote: All totals exclude Summer School Age to avoid double counting.</t>
  </si>
  <si>
    <t>Total Expenses / Monthly Tuition Per Child</t>
  </si>
  <si>
    <t>Licensed Capacity (LC)</t>
  </si>
  <si>
    <t>weeks/year*</t>
  </si>
  <si>
    <t>* weeks/year: you input how many weeks per year an employee works in column C: the default is 52 weeks for most employees, 36 weeks for before/after school program staff and 12 weeks for summer program staff</t>
  </si>
  <si>
    <t>Hourly Rate</t>
  </si>
  <si>
    <t>Director</t>
  </si>
  <si>
    <t>Other Staff 1</t>
  </si>
  <si>
    <t>Other Staff 2</t>
  </si>
  <si>
    <t>Other Staff 3</t>
  </si>
  <si>
    <t>Other Staff 4</t>
  </si>
  <si>
    <t>Other Staff 5</t>
  </si>
  <si>
    <t>Blue highlighted fields are input fields. Room names and staff titles should be determined by you; change them to reflect names and titles at your center. Changes you make here will carry through to the other worksheets.</t>
  </si>
  <si>
    <t>Hours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</si>
</sst>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 numFmtId="168" formatCode="0.0%"/>
  </numFmts>
  <fonts count="29" x14ac:knownFonts="1">
    <font>
      <sz val="10"/>
      <name val="Arial"/>
    </font>
    <font>
      <sz val="10"/>
      <name val="Arial"/>
      <family val="2"/>
    </font>
    <font>
      <b/>
      <sz val="10"/>
      <name val="Arial"/>
      <family val="2"/>
    </font>
    <font>
      <i/>
      <sz val="10"/>
      <name val="Arial"/>
      <family val="2"/>
    </font>
    <font>
      <sz val="8"/>
      <name val="Arial"/>
      <family val="2"/>
    </font>
    <font>
      <u/>
      <sz val="10"/>
      <color indexed="12"/>
      <name val="Arial"/>
      <family val="2"/>
    </font>
    <font>
      <i/>
      <sz val="9"/>
      <name val="Arial"/>
      <family val="2"/>
    </font>
    <font>
      <i/>
      <sz val="8"/>
      <name val="Arial"/>
      <family val="2"/>
    </font>
    <font>
      <sz val="9"/>
      <name val="Arial"/>
      <family val="2"/>
    </font>
    <font>
      <u/>
      <sz val="10"/>
      <name val="Arial"/>
      <family val="2"/>
    </font>
    <font>
      <b/>
      <i/>
      <sz val="10"/>
      <name val="Arial"/>
      <family val="2"/>
    </font>
    <font>
      <b/>
      <u/>
      <sz val="10"/>
      <name val="Arial"/>
      <family val="2"/>
    </font>
    <font>
      <b/>
      <sz val="12"/>
      <name val="Arial"/>
      <family val="2"/>
    </font>
    <font>
      <b/>
      <sz val="10"/>
      <color indexed="12"/>
      <name val="Arial"/>
      <family val="2"/>
    </font>
    <font>
      <b/>
      <sz val="10"/>
      <color indexed="17"/>
      <name val="Arial"/>
      <family val="2"/>
    </font>
    <font>
      <b/>
      <sz val="10"/>
      <color indexed="14"/>
      <name val="Arial"/>
      <family val="2"/>
    </font>
    <font>
      <b/>
      <sz val="10"/>
      <color indexed="10"/>
      <name val="Arial"/>
      <family val="2"/>
    </font>
    <font>
      <b/>
      <sz val="10"/>
      <color indexed="15"/>
      <name val="Arial"/>
      <family val="2"/>
    </font>
    <font>
      <b/>
      <sz val="9"/>
      <name val="Arial"/>
      <family val="2"/>
    </font>
    <font>
      <sz val="10"/>
      <color indexed="8"/>
      <name val="Arial"/>
      <family val="2"/>
    </font>
    <font>
      <sz val="10"/>
      <color indexed="10"/>
      <name val="Arial"/>
      <family val="2"/>
    </font>
    <font>
      <b/>
      <i/>
      <u/>
      <sz val="10"/>
      <name val="Arial"/>
      <family val="2"/>
    </font>
    <font>
      <sz val="11"/>
      <name val="Calibri"/>
      <family val="2"/>
      <scheme val="minor"/>
    </font>
    <font>
      <b/>
      <sz val="11"/>
      <name val="Calibri"/>
      <family val="2"/>
      <scheme val="minor"/>
    </font>
    <font>
      <u val="singleAccounting"/>
      <sz val="11"/>
      <name val="Calibri"/>
      <family val="2"/>
      <scheme val="minor"/>
    </font>
    <font>
      <b/>
      <i/>
      <sz val="11"/>
      <name val="Calibri"/>
      <family val="2"/>
      <scheme val="minor"/>
    </font>
    <font>
      <b/>
      <u/>
      <sz val="11"/>
      <name val="Calibri"/>
      <family val="2"/>
      <scheme val="minor"/>
    </font>
    <font>
      <u/>
      <sz val="11"/>
      <name val="Calibri"/>
      <family val="2"/>
      <scheme val="minor"/>
    </font>
    <font>
      <sz val="9"/>
      <name val="Calibri"/>
      <family val="2"/>
      <scheme val="minor"/>
    </font>
  </fonts>
  <fills count="3">
    <fill>
      <patternFill patternType="none"/>
    </fill>
    <fill>
      <patternFill patternType="gray125"/>
    </fill>
    <fill>
      <patternFill patternType="solid">
        <fgColor indexed="4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12"/>
      </left>
      <right style="medium">
        <color indexed="12"/>
      </right>
      <top style="medium">
        <color indexed="12"/>
      </top>
      <bottom style="medium">
        <color indexed="12"/>
      </bottom>
      <diagonal/>
    </border>
    <border>
      <left style="thick">
        <color indexed="12"/>
      </left>
      <right style="thick">
        <color indexed="12"/>
      </right>
      <top style="thick">
        <color indexed="12"/>
      </top>
      <bottom style="thick">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65">
    <xf numFmtId="0" fontId="0" fillId="0" borderId="0" xfId="0"/>
    <xf numFmtId="165" fontId="0" fillId="0" borderId="0" xfId="0" applyNumberFormat="1"/>
    <xf numFmtId="0" fontId="2" fillId="0" borderId="1" xfId="0" applyFont="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2" fillId="0" borderId="4" xfId="0" applyFont="1" applyBorder="1"/>
    <xf numFmtId="0" fontId="2" fillId="0" borderId="5" xfId="0" applyFont="1" applyBorder="1" applyAlignment="1">
      <alignment horizontal="center" wrapText="1"/>
    </xf>
    <xf numFmtId="0" fontId="0" fillId="0" borderId="5" xfId="0" applyBorder="1" applyAlignment="1">
      <alignment horizontal="center"/>
    </xf>
    <xf numFmtId="0" fontId="3" fillId="0" borderId="4" xfId="0" applyFont="1" applyBorder="1"/>
    <xf numFmtId="9" fontId="3" fillId="0" borderId="0" xfId="0" applyNumberFormat="1" applyFont="1" applyBorder="1" applyAlignment="1">
      <alignment horizontal="center"/>
    </xf>
    <xf numFmtId="9" fontId="3" fillId="0" borderId="5" xfId="0" applyNumberFormat="1" applyFont="1" applyBorder="1" applyAlignment="1">
      <alignment horizontal="center"/>
    </xf>
    <xf numFmtId="0" fontId="2" fillId="0" borderId="5" xfId="0" applyFont="1" applyBorder="1" applyAlignment="1">
      <alignment horizontal="center"/>
    </xf>
    <xf numFmtId="164" fontId="0" fillId="0" borderId="0" xfId="0" applyNumberFormat="1" applyBorder="1"/>
    <xf numFmtId="164" fontId="0" fillId="0" borderId="5" xfId="0" applyNumberFormat="1" applyBorder="1"/>
    <xf numFmtId="165" fontId="0" fillId="0" borderId="0" xfId="1" applyNumberFormat="1" applyFont="1" applyBorder="1"/>
    <xf numFmtId="0" fontId="3" fillId="0" borderId="6" xfId="0" applyFont="1" applyBorder="1"/>
    <xf numFmtId="0" fontId="0" fillId="0" borderId="7" xfId="0" applyBorder="1" applyAlignment="1">
      <alignment horizontal="center"/>
    </xf>
    <xf numFmtId="0" fontId="6" fillId="0" borderId="8" xfId="0" applyFont="1" applyBorder="1" applyAlignment="1">
      <alignment horizontal="center"/>
    </xf>
    <xf numFmtId="0" fontId="2" fillId="0" borderId="2" xfId="0" applyFont="1" applyBorder="1"/>
    <xf numFmtId="0" fontId="2" fillId="0" borderId="0" xfId="0" applyFont="1"/>
    <xf numFmtId="44" fontId="0" fillId="0" borderId="0" xfId="0" applyNumberFormat="1"/>
    <xf numFmtId="2" fontId="2" fillId="0" borderId="0" xfId="0" applyNumberFormat="1" applyFont="1" applyFill="1" applyBorder="1"/>
    <xf numFmtId="0" fontId="2" fillId="0" borderId="1" xfId="0" applyFont="1" applyFill="1" applyBorder="1" applyAlignment="1">
      <alignment horizontal="center" wrapText="1"/>
    </xf>
    <xf numFmtId="0" fontId="2" fillId="0" borderId="3" xfId="0" applyFont="1" applyFill="1" applyBorder="1" applyAlignment="1">
      <alignment horizontal="center" wrapText="1"/>
    </xf>
    <xf numFmtId="0" fontId="2" fillId="0" borderId="6" xfId="0" applyFont="1" applyBorder="1"/>
    <xf numFmtId="165" fontId="2" fillId="0" borderId="7" xfId="1" applyNumberFormat="1" applyFont="1" applyBorder="1"/>
    <xf numFmtId="0" fontId="7" fillId="0" borderId="8" xfId="0" applyFont="1" applyBorder="1" applyAlignment="1">
      <alignment horizontal="center" wrapText="1"/>
    </xf>
    <xf numFmtId="0" fontId="0" fillId="0" borderId="4" xfId="0" applyFill="1" applyBorder="1"/>
    <xf numFmtId="0" fontId="0" fillId="0" borderId="5" xfId="0" applyFill="1" applyBorder="1" applyAlignment="1">
      <alignment horizontal="center"/>
    </xf>
    <xf numFmtId="165" fontId="0" fillId="2" borderId="0" xfId="1" applyNumberFormat="1" applyFont="1" applyFill="1" applyBorder="1"/>
    <xf numFmtId="0" fontId="2" fillId="0" borderId="0" xfId="0" applyFont="1" applyAlignment="1">
      <alignment horizontal="right"/>
    </xf>
    <xf numFmtId="44" fontId="0" fillId="0" borderId="0" xfId="2" applyFont="1"/>
    <xf numFmtId="0" fontId="0" fillId="0" borderId="0" xfId="0" applyAlignment="1">
      <alignment wrapText="1"/>
    </xf>
    <xf numFmtId="168" fontId="0" fillId="0" borderId="0" xfId="0" applyNumberFormat="1"/>
    <xf numFmtId="0" fontId="2" fillId="0" borderId="0" xfId="0" applyFont="1" applyAlignment="1">
      <alignment horizontal="center"/>
    </xf>
    <xf numFmtId="0" fontId="2" fillId="0" borderId="0" xfId="0" quotePrefix="1" applyFont="1" applyAlignment="1">
      <alignment horizontal="center" wrapText="1"/>
    </xf>
    <xf numFmtId="0" fontId="2" fillId="0" borderId="0" xfId="0" applyFont="1" applyAlignment="1">
      <alignment wrapText="1"/>
    </xf>
    <xf numFmtId="167" fontId="0" fillId="0" borderId="0" xfId="0" applyNumberFormat="1"/>
    <xf numFmtId="165" fontId="0" fillId="0" borderId="5" xfId="1" applyNumberFormat="1" applyFont="1" applyBorder="1"/>
    <xf numFmtId="0" fontId="2" fillId="2" borderId="0" xfId="0" applyFont="1" applyFill="1"/>
    <xf numFmtId="0" fontId="11" fillId="2" borderId="0" xfId="0" applyFont="1" applyFill="1"/>
    <xf numFmtId="0" fontId="9" fillId="2" borderId="12" xfId="0" applyFont="1" applyFill="1" applyBorder="1"/>
    <xf numFmtId="165" fontId="0" fillId="0" borderId="5" xfId="1" applyNumberFormat="1" applyFont="1" applyFill="1" applyBorder="1"/>
    <xf numFmtId="165" fontId="0" fillId="0" borderId="0" xfId="1" applyNumberFormat="1" applyFont="1" applyFill="1" applyBorder="1"/>
    <xf numFmtId="0" fontId="2" fillId="0" borderId="0" xfId="0" applyFont="1" applyFill="1" applyBorder="1"/>
    <xf numFmtId="164" fontId="0" fillId="0" borderId="0" xfId="2" applyNumberFormat="1" applyFont="1" applyFill="1" applyBorder="1"/>
    <xf numFmtId="0" fontId="0" fillId="0" borderId="0" xfId="0" applyFill="1"/>
    <xf numFmtId="0" fontId="2" fillId="0" borderId="0" xfId="0" applyFont="1" applyAlignment="1">
      <alignment horizontal="center" wrapText="1"/>
    </xf>
    <xf numFmtId="0" fontId="9" fillId="2" borderId="0" xfId="0" applyFont="1" applyFill="1" applyBorder="1"/>
    <xf numFmtId="0" fontId="2" fillId="2" borderId="4" xfId="0" applyFont="1" applyFill="1" applyBorder="1" applyAlignment="1">
      <alignment vertical="center" wrapText="1"/>
    </xf>
    <xf numFmtId="0" fontId="0" fillId="2" borderId="4" xfId="0" applyFill="1" applyBorder="1"/>
    <xf numFmtId="0" fontId="1" fillId="2" borderId="12" xfId="0" applyFont="1" applyFill="1" applyBorder="1"/>
    <xf numFmtId="0" fontId="1" fillId="2" borderId="0" xfId="0" applyFont="1" applyFill="1" applyBorder="1"/>
    <xf numFmtId="166" fontId="2" fillId="0" borderId="0" xfId="0" applyNumberFormat="1" applyFont="1" applyFill="1" applyBorder="1" applyAlignment="1">
      <alignment horizontal="center"/>
    </xf>
    <xf numFmtId="0" fontId="2" fillId="0" borderId="2" xfId="0" applyFont="1" applyFill="1" applyBorder="1" applyAlignment="1">
      <alignment horizontal="center" wrapText="1"/>
    </xf>
    <xf numFmtId="165" fontId="0" fillId="0" borderId="0" xfId="0" applyNumberFormat="1" applyBorder="1"/>
    <xf numFmtId="165" fontId="0" fillId="0" borderId="5" xfId="0" applyNumberFormat="1" applyBorder="1"/>
    <xf numFmtId="165" fontId="2" fillId="0" borderId="8" xfId="1" applyNumberFormat="1" applyFont="1" applyBorder="1"/>
    <xf numFmtId="0" fontId="18" fillId="0" borderId="1" xfId="0" applyFont="1" applyBorder="1"/>
    <xf numFmtId="0" fontId="8" fillId="0" borderId="4" xfId="0" applyFont="1" applyBorder="1"/>
    <xf numFmtId="0" fontId="8" fillId="0" borderId="4" xfId="0" applyFont="1" applyBorder="1" applyAlignment="1">
      <alignment wrapText="1"/>
    </xf>
    <xf numFmtId="165" fontId="9" fillId="0" borderId="0" xfId="1" applyNumberFormat="1" applyFont="1" applyBorder="1"/>
    <xf numFmtId="167" fontId="0" fillId="0" borderId="0" xfId="2" applyNumberFormat="1" applyFont="1" applyBorder="1"/>
    <xf numFmtId="0" fontId="18" fillId="0" borderId="6" xfId="0" applyFont="1" applyBorder="1"/>
    <xf numFmtId="0" fontId="0" fillId="0" borderId="8" xfId="0" applyBorder="1"/>
    <xf numFmtId="0" fontId="0" fillId="0" borderId="7" xfId="0" applyBorder="1"/>
    <xf numFmtId="165" fontId="2" fillId="0" borderId="8" xfId="0" applyNumberFormat="1" applyFont="1" applyBorder="1" applyAlignment="1">
      <alignment horizontal="center"/>
    </xf>
    <xf numFmtId="0" fontId="0" fillId="0" borderId="0" xfId="0" applyFill="1" applyBorder="1"/>
    <xf numFmtId="0" fontId="2" fillId="0" borderId="19" xfId="0" applyFont="1" applyBorder="1"/>
    <xf numFmtId="0" fontId="0" fillId="0" borderId="20" xfId="0" applyBorder="1"/>
    <xf numFmtId="0" fontId="0" fillId="0" borderId="20" xfId="0" applyBorder="1" applyAlignment="1">
      <alignment wrapText="1"/>
    </xf>
    <xf numFmtId="0" fontId="0" fillId="0" borderId="21" xfId="0" applyBorder="1" applyAlignment="1">
      <alignment wrapText="1"/>
    </xf>
    <xf numFmtId="0" fontId="2" fillId="0" borderId="19" xfId="0" applyFont="1" applyBorder="1" applyAlignment="1">
      <alignment wrapText="1"/>
    </xf>
    <xf numFmtId="0" fontId="2" fillId="0" borderId="20" xfId="0" applyFont="1" applyBorder="1" applyAlignment="1">
      <alignment wrapText="1"/>
    </xf>
    <xf numFmtId="0" fontId="19" fillId="0" borderId="20" xfId="0" applyFont="1" applyBorder="1"/>
    <xf numFmtId="0" fontId="19" fillId="0" borderId="21" xfId="0" applyFont="1" applyBorder="1"/>
    <xf numFmtId="0" fontId="2" fillId="2" borderId="20" xfId="0" applyFont="1" applyFill="1" applyBorder="1"/>
    <xf numFmtId="0" fontId="2" fillId="0" borderId="20" xfId="0" applyFont="1" applyFill="1" applyBorder="1"/>
    <xf numFmtId="167" fontId="0" fillId="0" borderId="5" xfId="2" applyNumberFormat="1" applyFont="1" applyBorder="1"/>
    <xf numFmtId="167" fontId="2" fillId="0" borderId="0" xfId="2" applyNumberFormat="1" applyFont="1" applyBorder="1"/>
    <xf numFmtId="167" fontId="2" fillId="0" borderId="5" xfId="2" applyNumberFormat="1" applyFont="1" applyBorder="1"/>
    <xf numFmtId="44" fontId="1" fillId="2" borderId="16" xfId="2" applyFont="1" applyFill="1" applyBorder="1"/>
    <xf numFmtId="0" fontId="1" fillId="0" borderId="0" xfId="0" applyFont="1" applyFill="1"/>
    <xf numFmtId="0" fontId="22" fillId="0" borderId="0" xfId="0" applyFont="1"/>
    <xf numFmtId="0" fontId="22" fillId="0" borderId="0" xfId="0" applyFont="1" applyAlignment="1">
      <alignment wrapText="1"/>
    </xf>
    <xf numFmtId="0" fontId="23" fillId="2" borderId="0" xfId="0" applyFont="1" applyFill="1"/>
    <xf numFmtId="44" fontId="22" fillId="0" borderId="0" xfId="0" applyNumberFormat="1" applyFont="1"/>
    <xf numFmtId="0" fontId="22" fillId="2" borderId="0" xfId="0" applyFont="1" applyFill="1"/>
    <xf numFmtId="44" fontId="22" fillId="2" borderId="0" xfId="0" applyNumberFormat="1" applyFont="1" applyFill="1"/>
    <xf numFmtId="0" fontId="22" fillId="0" borderId="11" xfId="0" applyFont="1" applyBorder="1"/>
    <xf numFmtId="0" fontId="22" fillId="0" borderId="16" xfId="0" applyFont="1" applyBorder="1"/>
    <xf numFmtId="0" fontId="22" fillId="0" borderId="0" xfId="0" applyFont="1" applyBorder="1"/>
    <xf numFmtId="0" fontId="22" fillId="0" borderId="12" xfId="0" applyFont="1" applyBorder="1"/>
    <xf numFmtId="165" fontId="22" fillId="0" borderId="16" xfId="1" applyNumberFormat="1" applyFont="1" applyBorder="1"/>
    <xf numFmtId="10" fontId="22" fillId="0" borderId="0" xfId="0" applyNumberFormat="1" applyFont="1" applyBorder="1"/>
    <xf numFmtId="168" fontId="22" fillId="0" borderId="12" xfId="0" applyNumberFormat="1" applyFont="1" applyBorder="1"/>
    <xf numFmtId="44" fontId="24" fillId="0" borderId="0" xfId="0" applyNumberFormat="1" applyFont="1"/>
    <xf numFmtId="44" fontId="24" fillId="2" borderId="0" xfId="0" applyNumberFormat="1" applyFont="1" applyFill="1"/>
    <xf numFmtId="10" fontId="22" fillId="2" borderId="0" xfId="0" applyNumberFormat="1" applyFont="1" applyFill="1" applyBorder="1"/>
    <xf numFmtId="0" fontId="22" fillId="0" borderId="0" xfId="0" applyFont="1" applyFill="1"/>
    <xf numFmtId="44" fontId="24" fillId="0" borderId="0" xfId="0" applyNumberFormat="1" applyFont="1" applyBorder="1"/>
    <xf numFmtId="10" fontId="22" fillId="2" borderId="0" xfId="1" applyNumberFormat="1" applyFont="1" applyFill="1" applyBorder="1"/>
    <xf numFmtId="44" fontId="23" fillId="0" borderId="0" xfId="0" applyNumberFormat="1" applyFont="1"/>
    <xf numFmtId="44" fontId="23" fillId="0" borderId="17" xfId="0" applyNumberFormat="1" applyFont="1" applyBorder="1"/>
    <xf numFmtId="10" fontId="22" fillId="2" borderId="14" xfId="1" applyNumberFormat="1" applyFont="1" applyFill="1" applyBorder="1"/>
    <xf numFmtId="165" fontId="22" fillId="0" borderId="13" xfId="0" applyNumberFormat="1" applyFont="1" applyBorder="1"/>
    <xf numFmtId="10" fontId="22" fillId="0" borderId="14" xfId="0" applyNumberFormat="1" applyFont="1" applyBorder="1"/>
    <xf numFmtId="0" fontId="22" fillId="0" borderId="15" xfId="0" applyFont="1" applyBorder="1"/>
    <xf numFmtId="44" fontId="22" fillId="0" borderId="0" xfId="2" applyFont="1"/>
    <xf numFmtId="44" fontId="23" fillId="0" borderId="18" xfId="0" applyNumberFormat="1" applyFont="1" applyBorder="1"/>
    <xf numFmtId="44" fontId="22" fillId="2" borderId="0" xfId="2" applyFont="1" applyFill="1"/>
    <xf numFmtId="0" fontId="22" fillId="0" borderId="0" xfId="0" applyFont="1" applyAlignment="1">
      <alignment horizontal="right"/>
    </xf>
    <xf numFmtId="44" fontId="24" fillId="2" borderId="0" xfId="2" applyFont="1" applyFill="1"/>
    <xf numFmtId="0" fontId="26" fillId="0" borderId="0" xfId="0" applyFont="1" applyAlignment="1">
      <alignment horizontal="center"/>
    </xf>
    <xf numFmtId="0" fontId="26" fillId="0" borderId="0" xfId="0" applyFont="1" applyAlignment="1">
      <alignment horizontal="center" wrapText="1"/>
    </xf>
    <xf numFmtId="0" fontId="23" fillId="0" borderId="0" xfId="0" applyFont="1"/>
    <xf numFmtId="0" fontId="23" fillId="0" borderId="0" xfId="0" applyFont="1" applyAlignment="1">
      <alignment horizontal="right"/>
    </xf>
    <xf numFmtId="0" fontId="23" fillId="0" borderId="9" xfId="0" applyFont="1" applyBorder="1"/>
    <xf numFmtId="0" fontId="23" fillId="0" borderId="10" xfId="0" applyFont="1" applyBorder="1"/>
    <xf numFmtId="0" fontId="2" fillId="0" borderId="0" xfId="0" applyFont="1" applyFill="1"/>
    <xf numFmtId="0" fontId="0" fillId="0" borderId="0" xfId="0" applyFill="1" applyBorder="1" applyAlignment="1">
      <alignment horizontal="center"/>
    </xf>
    <xf numFmtId="0" fontId="2" fillId="0" borderId="0" xfId="0" applyFont="1" applyFill="1" applyBorder="1" applyAlignment="1">
      <alignment horizontal="center" wrapText="1"/>
    </xf>
    <xf numFmtId="0" fontId="3" fillId="0" borderId="0" xfId="0" applyFont="1" applyFill="1" applyBorder="1" applyAlignment="1">
      <alignment horizontal="center"/>
    </xf>
    <xf numFmtId="10" fontId="22" fillId="0" borderId="0" xfId="0" applyNumberFormat="1" applyFont="1" applyFill="1" applyBorder="1"/>
    <xf numFmtId="10" fontId="27" fillId="0" borderId="0" xfId="0" applyNumberFormat="1" applyFont="1" applyFill="1" applyBorder="1"/>
    <xf numFmtId="44" fontId="22" fillId="0" borderId="0" xfId="2" applyFont="1" applyFill="1"/>
    <xf numFmtId="44" fontId="24" fillId="0" borderId="0" xfId="2" applyFont="1" applyFill="1"/>
    <xf numFmtId="0" fontId="22" fillId="2" borderId="0" xfId="0" applyFont="1" applyFill="1" applyAlignment="1">
      <alignment horizontal="center"/>
    </xf>
    <xf numFmtId="0" fontId="28" fillId="0" borderId="0" xfId="0" applyFont="1"/>
    <xf numFmtId="0" fontId="2" fillId="0" borderId="4" xfId="0" applyFont="1" applyFill="1" applyBorder="1" applyAlignment="1">
      <alignment vertical="center" wrapText="1"/>
    </xf>
    <xf numFmtId="0" fontId="26" fillId="0" borderId="0" xfId="0" applyFont="1" applyFill="1" applyAlignment="1">
      <alignment horizontal="center"/>
    </xf>
    <xf numFmtId="0" fontId="25" fillId="0" borderId="0" xfId="0" applyFont="1" applyFill="1"/>
    <xf numFmtId="0" fontId="22" fillId="0" borderId="0" xfId="0" applyFont="1" applyFill="1" applyAlignment="1">
      <alignment horizontal="right"/>
    </xf>
    <xf numFmtId="1" fontId="22" fillId="2" borderId="0" xfId="2" applyNumberFormat="1" applyFont="1" applyFill="1" applyAlignment="1">
      <alignment horizontal="center"/>
    </xf>
    <xf numFmtId="0" fontId="1" fillId="0" borderId="0" xfId="0" applyFont="1"/>
    <xf numFmtId="0" fontId="1" fillId="0" borderId="9" xfId="0" applyFont="1" applyBorder="1"/>
    <xf numFmtId="0" fontId="1" fillId="0" borderId="11" xfId="0" applyFont="1" applyBorder="1" applyAlignment="1">
      <alignment wrapText="1"/>
    </xf>
    <xf numFmtId="0" fontId="1" fillId="0" borderId="16" xfId="0" applyFont="1" applyBorder="1"/>
    <xf numFmtId="0" fontId="1" fillId="0" borderId="12" xfId="0" applyFont="1" applyBorder="1"/>
    <xf numFmtId="44" fontId="1" fillId="0" borderId="16" xfId="2" applyFont="1" applyBorder="1"/>
    <xf numFmtId="0" fontId="1" fillId="0" borderId="0" xfId="0" applyFont="1" applyBorder="1"/>
    <xf numFmtId="0" fontId="1" fillId="0" borderId="16" xfId="0" applyFont="1" applyFill="1" applyBorder="1"/>
    <xf numFmtId="0" fontId="1" fillId="0" borderId="12" xfId="0" applyFont="1" applyFill="1" applyBorder="1"/>
    <xf numFmtId="0" fontId="3" fillId="0" borderId="0" xfId="0" applyFont="1"/>
    <xf numFmtId="44" fontId="1" fillId="0" borderId="13" xfId="2" applyFont="1" applyBorder="1"/>
    <xf numFmtId="0" fontId="1" fillId="0" borderId="15" xfId="0" applyFont="1" applyBorder="1"/>
    <xf numFmtId="0" fontId="1" fillId="0" borderId="13" xfId="0" applyFont="1" applyBorder="1"/>
    <xf numFmtId="0" fontId="1" fillId="0" borderId="14" xfId="0" applyFont="1" applyBorder="1"/>
    <xf numFmtId="0" fontId="10" fillId="0" borderId="0" xfId="0" applyFont="1"/>
    <xf numFmtId="44" fontId="1" fillId="0" borderId="0" xfId="2" applyFont="1"/>
    <xf numFmtId="44" fontId="1" fillId="0" borderId="0" xfId="0" applyNumberFormat="1" applyFont="1"/>
    <xf numFmtId="0" fontId="1" fillId="0" borderId="0" xfId="0" applyFont="1" applyAlignment="1">
      <alignment wrapText="1"/>
    </xf>
    <xf numFmtId="2" fontId="1" fillId="0" borderId="0" xfId="0" applyNumberFormat="1" applyFont="1"/>
    <xf numFmtId="0" fontId="28" fillId="2" borderId="0" xfId="0" applyNumberFormat="1" applyFont="1" applyFill="1" applyAlignment="1">
      <alignment horizontal="left" vertical="top" wrapText="1"/>
    </xf>
    <xf numFmtId="0" fontId="22" fillId="0" borderId="0" xfId="0" applyFont="1" applyAlignment="1">
      <alignment horizontal="right"/>
    </xf>
    <xf numFmtId="0" fontId="23" fillId="0" borderId="0" xfId="0" applyFont="1" applyAlignment="1">
      <alignment horizontal="right"/>
    </xf>
    <xf numFmtId="44" fontId="23" fillId="0" borderId="0" xfId="0" applyNumberFormat="1" applyFont="1" applyAlignment="1">
      <alignment horizontal="right"/>
    </xf>
    <xf numFmtId="0" fontId="2" fillId="0" borderId="0" xfId="0" applyFont="1" applyAlignment="1">
      <alignment wrapText="1"/>
    </xf>
    <xf numFmtId="0" fontId="5" fillId="0" borderId="0" xfId="3" applyAlignment="1" applyProtection="1">
      <alignment horizontal="center"/>
    </xf>
    <xf numFmtId="0" fontId="8" fillId="0" borderId="0" xfId="0" applyFont="1" applyAlignment="1">
      <alignment horizontal="center"/>
    </xf>
    <xf numFmtId="0" fontId="3" fillId="0" borderId="6" xfId="0" applyFont="1" applyBorder="1" applyAlignment="1">
      <alignment horizontal="left"/>
    </xf>
    <xf numFmtId="0" fontId="3" fillId="0" borderId="8" xfId="0" applyFont="1" applyBorder="1" applyAlignment="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mruColors>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www.firstchildrensfinanc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
  <sheetViews>
    <sheetView view="pageLayout" topLeftCell="B1" zoomScaleNormal="100" workbookViewId="0">
      <selection activeCell="B15" sqref="B15"/>
    </sheetView>
  </sheetViews>
  <sheetFormatPr defaultRowHeight="12.75" x14ac:dyDescent="0.2"/>
  <cols>
    <col min="1" max="1" width="3.7109375" customWidth="1"/>
    <col min="2" max="2" width="120.7109375" customWidth="1"/>
  </cols>
  <sheetData>
    <row r="1" spans="2:2" ht="13.5" thickBot="1" x14ac:dyDescent="0.25"/>
    <row r="2" spans="2:2" x14ac:dyDescent="0.2">
      <c r="B2" s="71" t="s">
        <v>100</v>
      </c>
    </row>
    <row r="3" spans="2:2" x14ac:dyDescent="0.2">
      <c r="B3" s="72"/>
    </row>
    <row r="4" spans="2:2" x14ac:dyDescent="0.2">
      <c r="B4" s="79" t="s">
        <v>150</v>
      </c>
    </row>
    <row r="5" spans="2:2" x14ac:dyDescent="0.2">
      <c r="B5" s="80" t="s">
        <v>147</v>
      </c>
    </row>
    <row r="6" spans="2:2" x14ac:dyDescent="0.2">
      <c r="B6" s="72"/>
    </row>
    <row r="7" spans="2:2" ht="38.25" x14ac:dyDescent="0.2">
      <c r="B7" s="73" t="s">
        <v>148</v>
      </c>
    </row>
    <row r="8" spans="2:2" x14ac:dyDescent="0.2">
      <c r="B8" s="73"/>
    </row>
    <row r="9" spans="2:2" ht="63.75" x14ac:dyDescent="0.2">
      <c r="B9" s="73" t="s">
        <v>149</v>
      </c>
    </row>
    <row r="10" spans="2:2" x14ac:dyDescent="0.2">
      <c r="B10" s="73"/>
    </row>
    <row r="11" spans="2:2" ht="18" customHeight="1" x14ac:dyDescent="0.2">
      <c r="B11" s="73" t="s">
        <v>144</v>
      </c>
    </row>
    <row r="12" spans="2:2" x14ac:dyDescent="0.2">
      <c r="B12" s="73"/>
    </row>
    <row r="13" spans="2:2" ht="79.5" x14ac:dyDescent="0.2">
      <c r="B13" s="73" t="s">
        <v>145</v>
      </c>
    </row>
    <row r="14" spans="2:2" x14ac:dyDescent="0.2">
      <c r="B14" s="73"/>
    </row>
    <row r="15" spans="2:2" ht="38.25" x14ac:dyDescent="0.2">
      <c r="B15" s="73" t="s">
        <v>133</v>
      </c>
    </row>
    <row r="16" spans="2:2" x14ac:dyDescent="0.2">
      <c r="B16" s="73"/>
    </row>
    <row r="17" spans="2:2" ht="25.5" x14ac:dyDescent="0.2">
      <c r="B17" s="73" t="s">
        <v>111</v>
      </c>
    </row>
    <row r="18" spans="2:2" x14ac:dyDescent="0.2">
      <c r="B18" s="73"/>
    </row>
    <row r="19" spans="2:2" ht="26.25" thickBot="1" x14ac:dyDescent="0.25">
      <c r="B19" s="74" t="s">
        <v>125</v>
      </c>
    </row>
    <row r="20" spans="2:2" ht="13.5" thickBot="1" x14ac:dyDescent="0.25">
      <c r="B20" s="35"/>
    </row>
    <row r="21" spans="2:2" x14ac:dyDescent="0.2">
      <c r="B21" s="75" t="s">
        <v>129</v>
      </c>
    </row>
    <row r="22" spans="2:2" x14ac:dyDescent="0.2">
      <c r="B22" s="76"/>
    </row>
    <row r="23" spans="2:2" x14ac:dyDescent="0.2">
      <c r="B23" s="77" t="s">
        <v>130</v>
      </c>
    </row>
    <row r="24" spans="2:2" x14ac:dyDescent="0.2">
      <c r="B24" s="73" t="s">
        <v>131</v>
      </c>
    </row>
    <row r="25" spans="2:2" ht="13.5" thickBot="1" x14ac:dyDescent="0.25">
      <c r="B25" s="78" t="s">
        <v>132</v>
      </c>
    </row>
    <row r="26" spans="2:2" x14ac:dyDescent="0.2">
      <c r="B26" s="35"/>
    </row>
    <row r="27" spans="2:2" x14ac:dyDescent="0.2">
      <c r="B27" s="35"/>
    </row>
    <row r="28" spans="2:2" x14ac:dyDescent="0.2">
      <c r="B28" s="35"/>
    </row>
    <row r="29" spans="2:2" x14ac:dyDescent="0.2">
      <c r="B29" s="35"/>
    </row>
    <row r="30" spans="2:2" x14ac:dyDescent="0.2">
      <c r="B30" s="35"/>
    </row>
  </sheetData>
  <phoneticPr fontId="4" type="noConversion"/>
  <pageMargins left="0.43" right="0.18" top="0.43" bottom="0.9" header="0.17" footer="0.16"/>
  <pageSetup scale="99" orientation="landscape" r:id="rId1"/>
  <headerFooter alignWithMargins="0">
    <oddHeader>&amp;C&amp;"Arial,Bold"&amp;11Classroom Cost Analysis and Breakeven</oddHeader>
    <oddFooter xml:space="preserve">&amp;L
&amp;G&amp;Cwww.firstchildrensfinance.org 
1-866-562-6801
Copyright © 2011 First Children’s Finance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R83"/>
  <sheetViews>
    <sheetView topLeftCell="A56" zoomScaleNormal="100" workbookViewId="0">
      <selection activeCell="K7" sqref="K7"/>
    </sheetView>
  </sheetViews>
  <sheetFormatPr defaultRowHeight="15" x14ac:dyDescent="0.25"/>
  <cols>
    <col min="1" max="1" width="19.42578125" style="86" bestFit="1" customWidth="1"/>
    <col min="2" max="2" width="11.7109375" style="86" bestFit="1" customWidth="1"/>
    <col min="3" max="3" width="11.7109375" style="86" customWidth="1"/>
    <col min="4" max="4" width="11.28515625" style="102" customWidth="1"/>
    <col min="5" max="5" width="8" style="86" bestFit="1" customWidth="1"/>
    <col min="6" max="6" width="11.5703125" style="86" bestFit="1" customWidth="1"/>
    <col min="7" max="7" width="10.5703125" style="86" bestFit="1" customWidth="1"/>
    <col min="8" max="8" width="1" style="86" bestFit="1" customWidth="1"/>
    <col min="9" max="9" width="1.42578125" style="86" bestFit="1" customWidth="1"/>
    <col min="10" max="10" width="15.140625" style="86" bestFit="1" customWidth="1"/>
    <col min="11" max="11" width="10.85546875" style="86" bestFit="1" customWidth="1"/>
    <col min="12" max="12" width="6.28515625" style="86" bestFit="1" customWidth="1"/>
    <col min="13" max="14" width="9.140625" style="86"/>
    <col min="15" max="16" width="12.28515625" style="86" bestFit="1" customWidth="1"/>
    <col min="17" max="16384" width="9.140625" style="86"/>
  </cols>
  <sheetData>
    <row r="1" spans="1:18" ht="30" x14ac:dyDescent="0.25">
      <c r="B1" s="116" t="s">
        <v>11</v>
      </c>
      <c r="C1" s="116" t="s">
        <v>165</v>
      </c>
      <c r="D1" s="133" t="s">
        <v>14</v>
      </c>
      <c r="E1" s="116" t="s">
        <v>12</v>
      </c>
      <c r="F1" s="116" t="s">
        <v>13</v>
      </c>
      <c r="G1" s="117" t="s">
        <v>63</v>
      </c>
      <c r="H1" s="87" t="s">
        <v>10</v>
      </c>
      <c r="I1" s="86" t="s">
        <v>10</v>
      </c>
    </row>
    <row r="2" spans="1:18" x14ac:dyDescent="0.25">
      <c r="A2" s="88" t="s">
        <v>156</v>
      </c>
      <c r="E2" s="89"/>
      <c r="F2" s="89"/>
      <c r="G2" s="89"/>
      <c r="H2" s="89"/>
      <c r="I2" s="89"/>
    </row>
    <row r="3" spans="1:18" x14ac:dyDescent="0.25">
      <c r="A3" s="90" t="s">
        <v>88</v>
      </c>
      <c r="B3" s="90">
        <v>30</v>
      </c>
      <c r="C3" s="90">
        <v>52</v>
      </c>
      <c r="D3" s="102">
        <f>C3*B3</f>
        <v>1560</v>
      </c>
      <c r="E3" s="91">
        <v>10.5</v>
      </c>
      <c r="F3" s="89">
        <f>D3*E3</f>
        <v>16380</v>
      </c>
      <c r="G3" s="91">
        <v>0</v>
      </c>
      <c r="H3" s="89"/>
      <c r="I3" s="89"/>
      <c r="J3" s="120" t="s">
        <v>18</v>
      </c>
      <c r="K3" s="121" t="s">
        <v>93</v>
      </c>
      <c r="L3" s="92"/>
    </row>
    <row r="4" spans="1:18" x14ac:dyDescent="0.25">
      <c r="A4" s="90" t="s">
        <v>87</v>
      </c>
      <c r="B4" s="90">
        <v>30</v>
      </c>
      <c r="C4" s="90">
        <v>52</v>
      </c>
      <c r="D4" s="102">
        <f t="shared" ref="D4:D6" si="0">C4*B4</f>
        <v>1560</v>
      </c>
      <c r="E4" s="91">
        <v>8.5</v>
      </c>
      <c r="F4" s="89">
        <f t="shared" ref="F4:F6" si="1">D4*E4</f>
        <v>13260</v>
      </c>
      <c r="G4" s="91">
        <v>0</v>
      </c>
      <c r="H4" s="89"/>
      <c r="I4" s="89"/>
      <c r="J4" s="93"/>
      <c r="K4" s="94"/>
      <c r="L4" s="95"/>
    </row>
    <row r="5" spans="1:18" x14ac:dyDescent="0.25">
      <c r="A5" s="90" t="s">
        <v>64</v>
      </c>
      <c r="B5" s="90">
        <v>0</v>
      </c>
      <c r="C5" s="90">
        <v>52</v>
      </c>
      <c r="D5" s="102">
        <f t="shared" si="0"/>
        <v>0</v>
      </c>
      <c r="E5" s="91">
        <v>0</v>
      </c>
      <c r="F5" s="89">
        <f t="shared" si="1"/>
        <v>0</v>
      </c>
      <c r="G5" s="91">
        <v>0</v>
      </c>
      <c r="H5" s="89"/>
      <c r="I5" s="89"/>
      <c r="J5" s="96" t="s">
        <v>19</v>
      </c>
      <c r="K5" s="101">
        <v>7.6499999999999999E-2</v>
      </c>
      <c r="L5" s="98"/>
    </row>
    <row r="6" spans="1:18" ht="17.25" x14ac:dyDescent="0.4">
      <c r="A6" s="90" t="s">
        <v>134</v>
      </c>
      <c r="B6" s="90">
        <v>0</v>
      </c>
      <c r="C6" s="90">
        <v>52</v>
      </c>
      <c r="D6" s="102">
        <f t="shared" si="0"/>
        <v>0</v>
      </c>
      <c r="E6" s="91">
        <v>0</v>
      </c>
      <c r="F6" s="89">
        <f t="shared" si="1"/>
        <v>0</v>
      </c>
      <c r="G6" s="100">
        <v>0</v>
      </c>
      <c r="H6" s="99"/>
      <c r="I6" s="89"/>
      <c r="J6" s="96" t="s">
        <v>20</v>
      </c>
      <c r="K6" s="101">
        <v>1.7000000000000001E-2</v>
      </c>
      <c r="L6" s="98"/>
    </row>
    <row r="7" spans="1:18" x14ac:dyDescent="0.25">
      <c r="A7" s="102"/>
      <c r="E7" s="89"/>
      <c r="F7" s="89">
        <f>SUM(F3:F6)</f>
        <v>29640</v>
      </c>
      <c r="G7" s="89">
        <f>SUM(G3:G6)</f>
        <v>0</v>
      </c>
      <c r="H7" s="89"/>
      <c r="I7" s="89"/>
      <c r="J7" s="96" t="s">
        <v>21</v>
      </c>
      <c r="K7" s="101">
        <v>0</v>
      </c>
      <c r="L7" s="95"/>
    </row>
    <row r="8" spans="1:18" ht="17.25" x14ac:dyDescent="0.4">
      <c r="A8" s="102"/>
      <c r="D8" s="157" t="s">
        <v>91</v>
      </c>
      <c r="E8" s="157"/>
      <c r="F8" s="103">
        <f>F7*K11</f>
        <v>2771.34</v>
      </c>
      <c r="G8" s="103"/>
      <c r="H8" s="103"/>
      <c r="I8" s="89"/>
      <c r="J8" s="96" t="s">
        <v>22</v>
      </c>
      <c r="K8" s="104">
        <v>0</v>
      </c>
      <c r="L8" s="95"/>
    </row>
    <row r="9" spans="1:18" ht="15.75" thickBot="1" x14ac:dyDescent="0.3">
      <c r="A9" s="102"/>
      <c r="E9" s="89" t="s">
        <v>0</v>
      </c>
      <c r="F9" s="89">
        <f>F7+F8</f>
        <v>32411.34</v>
      </c>
      <c r="G9" s="89"/>
      <c r="H9" s="89"/>
      <c r="I9" s="89"/>
      <c r="J9" s="96" t="s">
        <v>23</v>
      </c>
      <c r="K9" s="104">
        <v>0</v>
      </c>
      <c r="L9" s="95"/>
    </row>
    <row r="10" spans="1:18" ht="15.75" thickBot="1" x14ac:dyDescent="0.3">
      <c r="A10" s="102"/>
      <c r="D10" s="158" t="s">
        <v>15</v>
      </c>
      <c r="E10" s="158"/>
      <c r="F10" s="105">
        <f>F9/12</f>
        <v>2700.9450000000002</v>
      </c>
      <c r="G10" s="106">
        <f>F10+G7</f>
        <v>2700.9450000000002</v>
      </c>
      <c r="H10" s="105"/>
      <c r="I10" s="89"/>
      <c r="J10" s="96" t="s">
        <v>24</v>
      </c>
      <c r="K10" s="107">
        <v>0</v>
      </c>
      <c r="L10" s="95"/>
    </row>
    <row r="11" spans="1:18" x14ac:dyDescent="0.25">
      <c r="A11" s="102"/>
      <c r="E11" s="89"/>
      <c r="F11" s="89"/>
      <c r="G11" s="89"/>
      <c r="H11" s="89"/>
      <c r="I11" s="89"/>
      <c r="J11" s="108"/>
      <c r="K11" s="109">
        <f>SUM(K5:K10)</f>
        <v>9.35E-2</v>
      </c>
      <c r="L11" s="110"/>
    </row>
    <row r="12" spans="1:18" x14ac:dyDescent="0.25">
      <c r="A12" s="88" t="s">
        <v>157</v>
      </c>
      <c r="E12" s="89"/>
      <c r="F12" s="89"/>
      <c r="G12" s="89"/>
      <c r="H12" s="89"/>
      <c r="I12" s="89"/>
    </row>
    <row r="13" spans="1:18" ht="27.75" customHeight="1" x14ac:dyDescent="0.25">
      <c r="A13" s="90" t="s">
        <v>88</v>
      </c>
      <c r="B13" s="90">
        <v>40</v>
      </c>
      <c r="C13" s="90">
        <v>52</v>
      </c>
      <c r="D13" s="102">
        <f>C13*B13</f>
        <v>2080</v>
      </c>
      <c r="E13" s="91">
        <v>10.5</v>
      </c>
      <c r="F13" s="89">
        <f>D13*E13</f>
        <v>21840</v>
      </c>
      <c r="G13" s="91">
        <v>625</v>
      </c>
      <c r="H13" s="89"/>
      <c r="I13" s="89"/>
      <c r="J13" s="156" t="s">
        <v>166</v>
      </c>
      <c r="K13" s="156"/>
      <c r="L13" s="156"/>
      <c r="M13" s="156"/>
      <c r="N13" s="156"/>
      <c r="O13" s="156"/>
      <c r="P13" s="156"/>
      <c r="Q13" s="156"/>
      <c r="R13" s="156"/>
    </row>
    <row r="14" spans="1:18" x14ac:dyDescent="0.25">
      <c r="A14" s="90" t="s">
        <v>154</v>
      </c>
      <c r="B14" s="90">
        <v>30</v>
      </c>
      <c r="C14" s="90">
        <v>52</v>
      </c>
      <c r="D14" s="102">
        <f t="shared" ref="D14:D16" si="2">C14*B14</f>
        <v>1560</v>
      </c>
      <c r="E14" s="91">
        <v>8.25</v>
      </c>
      <c r="F14" s="89">
        <f t="shared" ref="F14:F16" si="3">D14*E14</f>
        <v>12870</v>
      </c>
      <c r="G14" s="91">
        <v>0</v>
      </c>
      <c r="H14" s="89"/>
      <c r="I14" s="89"/>
      <c r="J14" s="131"/>
      <c r="K14" s="131"/>
      <c r="L14" s="131"/>
      <c r="M14" s="131"/>
      <c r="N14" s="131"/>
      <c r="O14" s="131"/>
      <c r="P14" s="131"/>
      <c r="Q14" s="131"/>
      <c r="R14" s="131"/>
    </row>
    <row r="15" spans="1:18" ht="25.5" customHeight="1" x14ac:dyDescent="0.25">
      <c r="A15" s="90" t="s">
        <v>155</v>
      </c>
      <c r="B15" s="90">
        <v>30</v>
      </c>
      <c r="C15" s="90">
        <v>52</v>
      </c>
      <c r="D15" s="102">
        <f t="shared" si="2"/>
        <v>1560</v>
      </c>
      <c r="E15" s="91">
        <v>8</v>
      </c>
      <c r="F15" s="89">
        <f t="shared" si="3"/>
        <v>12480</v>
      </c>
      <c r="G15" s="91">
        <v>0</v>
      </c>
      <c r="H15" s="89"/>
      <c r="I15" s="89"/>
      <c r="J15" s="156" t="s">
        <v>174</v>
      </c>
      <c r="K15" s="156"/>
      <c r="L15" s="156"/>
      <c r="M15" s="156"/>
      <c r="N15" s="156"/>
      <c r="O15" s="156"/>
      <c r="P15" s="156"/>
      <c r="Q15" s="156"/>
      <c r="R15" s="156"/>
    </row>
    <row r="16" spans="1:18" ht="17.25" x14ac:dyDescent="0.4">
      <c r="A16" s="90" t="s">
        <v>134</v>
      </c>
      <c r="B16" s="90">
        <v>0</v>
      </c>
      <c r="C16" s="90">
        <v>52</v>
      </c>
      <c r="D16" s="102">
        <f t="shared" si="2"/>
        <v>0</v>
      </c>
      <c r="E16" s="91">
        <v>0</v>
      </c>
      <c r="F16" s="89">
        <f t="shared" si="3"/>
        <v>0</v>
      </c>
      <c r="G16" s="100">
        <v>0</v>
      </c>
      <c r="H16" s="99"/>
      <c r="I16" s="89"/>
    </row>
    <row r="17" spans="1:9" x14ac:dyDescent="0.25">
      <c r="A17" s="102"/>
      <c r="E17" s="89"/>
      <c r="F17" s="89">
        <f>SUM(F13:F16)</f>
        <v>47190</v>
      </c>
      <c r="G17" s="89">
        <f>SUM(G13:G16)</f>
        <v>625</v>
      </c>
      <c r="H17" s="89"/>
      <c r="I17" s="89"/>
    </row>
    <row r="18" spans="1:9" ht="17.25" x14ac:dyDescent="0.4">
      <c r="A18" s="102"/>
      <c r="D18" s="157" t="s">
        <v>91</v>
      </c>
      <c r="E18" s="157"/>
      <c r="F18" s="99">
        <f>F17*K11</f>
        <v>4412.2650000000003</v>
      </c>
      <c r="G18" s="99"/>
      <c r="H18" s="99"/>
      <c r="I18" s="89"/>
    </row>
    <row r="19" spans="1:9" ht="15.75" thickBot="1" x14ac:dyDescent="0.3">
      <c r="A19" s="102"/>
      <c r="E19" s="89" t="s">
        <v>0</v>
      </c>
      <c r="F19" s="89">
        <f>F17+F18</f>
        <v>51602.264999999999</v>
      </c>
      <c r="G19" s="89"/>
      <c r="H19" s="89"/>
      <c r="I19" s="89"/>
    </row>
    <row r="20" spans="1:9" ht="16.5" thickTop="1" thickBot="1" x14ac:dyDescent="0.3">
      <c r="A20" s="102"/>
      <c r="D20" s="158" t="s">
        <v>15</v>
      </c>
      <c r="E20" s="158"/>
      <c r="F20" s="105">
        <f>F19/12</f>
        <v>4300.1887500000003</v>
      </c>
      <c r="G20" s="112">
        <f>F20+G17</f>
        <v>4925.1887500000003</v>
      </c>
      <c r="H20" s="105"/>
      <c r="I20" s="89"/>
    </row>
    <row r="21" spans="1:9" ht="15.75" thickTop="1" x14ac:dyDescent="0.25">
      <c r="A21" s="102"/>
      <c r="E21" s="89"/>
      <c r="F21" s="89"/>
      <c r="G21" s="89"/>
      <c r="H21" s="89"/>
      <c r="I21" s="89"/>
    </row>
    <row r="22" spans="1:9" x14ac:dyDescent="0.25">
      <c r="A22" s="88" t="s">
        <v>158</v>
      </c>
      <c r="E22" s="89"/>
      <c r="F22" s="89"/>
      <c r="G22" s="89"/>
      <c r="H22" s="89"/>
      <c r="I22" s="89"/>
    </row>
    <row r="23" spans="1:9" x14ac:dyDescent="0.25">
      <c r="A23" s="90" t="s">
        <v>88</v>
      </c>
      <c r="B23" s="90">
        <v>30</v>
      </c>
      <c r="C23" s="90">
        <v>52</v>
      </c>
      <c r="D23" s="102">
        <f>C23*B23</f>
        <v>1560</v>
      </c>
      <c r="E23" s="91">
        <v>10</v>
      </c>
      <c r="F23" s="89">
        <f t="shared" ref="F23:F26" si="4">D23*E23</f>
        <v>15600</v>
      </c>
      <c r="G23" s="91">
        <v>0</v>
      </c>
      <c r="H23" s="89"/>
      <c r="I23" s="89"/>
    </row>
    <row r="24" spans="1:9" x14ac:dyDescent="0.25">
      <c r="A24" s="90" t="s">
        <v>87</v>
      </c>
      <c r="B24" s="90">
        <v>30</v>
      </c>
      <c r="C24" s="90">
        <v>52</v>
      </c>
      <c r="D24" s="102">
        <f t="shared" ref="D24:D26" si="5">C24*B24</f>
        <v>1560</v>
      </c>
      <c r="E24" s="91">
        <v>8.5</v>
      </c>
      <c r="F24" s="89">
        <f t="shared" si="4"/>
        <v>13260</v>
      </c>
      <c r="G24" s="91">
        <v>0</v>
      </c>
      <c r="H24" s="89"/>
      <c r="I24" s="89"/>
    </row>
    <row r="25" spans="1:9" x14ac:dyDescent="0.25">
      <c r="A25" s="90" t="s">
        <v>64</v>
      </c>
      <c r="B25" s="90">
        <v>25</v>
      </c>
      <c r="C25" s="90">
        <v>52</v>
      </c>
      <c r="D25" s="102">
        <f t="shared" si="5"/>
        <v>1300</v>
      </c>
      <c r="E25" s="91">
        <v>7.25</v>
      </c>
      <c r="F25" s="89">
        <f t="shared" si="4"/>
        <v>9425</v>
      </c>
      <c r="G25" s="91">
        <v>0</v>
      </c>
      <c r="H25" s="89"/>
      <c r="I25" s="89"/>
    </row>
    <row r="26" spans="1:9" ht="17.25" x14ac:dyDescent="0.4">
      <c r="A26" s="90" t="s">
        <v>134</v>
      </c>
      <c r="B26" s="90">
        <v>0</v>
      </c>
      <c r="C26" s="90">
        <v>52</v>
      </c>
      <c r="D26" s="102">
        <f t="shared" si="5"/>
        <v>0</v>
      </c>
      <c r="E26" s="91">
        <v>0</v>
      </c>
      <c r="F26" s="89">
        <f t="shared" si="4"/>
        <v>0</v>
      </c>
      <c r="G26" s="100">
        <v>0</v>
      </c>
      <c r="H26" s="99"/>
      <c r="I26" s="89"/>
    </row>
    <row r="27" spans="1:9" x14ac:dyDescent="0.25">
      <c r="A27" s="102"/>
      <c r="E27" s="89"/>
      <c r="F27" s="89">
        <f>SUM(F23:F26)</f>
        <v>38285</v>
      </c>
      <c r="G27" s="89">
        <f>SUM(G23:G26)</f>
        <v>0</v>
      </c>
      <c r="H27" s="89"/>
      <c r="I27" s="89"/>
    </row>
    <row r="28" spans="1:9" ht="17.25" x14ac:dyDescent="0.4">
      <c r="A28" s="102"/>
      <c r="D28" s="157" t="s">
        <v>91</v>
      </c>
      <c r="E28" s="157"/>
      <c r="F28" s="99">
        <f>F27*K11</f>
        <v>3579.6475</v>
      </c>
      <c r="G28" s="99"/>
      <c r="H28" s="99"/>
      <c r="I28" s="89"/>
    </row>
    <row r="29" spans="1:9" ht="15.75" thickBot="1" x14ac:dyDescent="0.3">
      <c r="A29" s="102"/>
      <c r="E29" s="89" t="s">
        <v>0</v>
      </c>
      <c r="F29" s="89">
        <f>F27+F28</f>
        <v>41864.647499999999</v>
      </c>
      <c r="G29" s="89"/>
      <c r="H29" s="89"/>
      <c r="I29" s="89"/>
    </row>
    <row r="30" spans="1:9" ht="16.5" thickTop="1" thickBot="1" x14ac:dyDescent="0.3">
      <c r="A30" s="102"/>
      <c r="D30" s="158" t="s">
        <v>15</v>
      </c>
      <c r="E30" s="158"/>
      <c r="F30" s="105">
        <f>F29/12</f>
        <v>3488.7206249999999</v>
      </c>
      <c r="G30" s="112">
        <f>F30+G27</f>
        <v>3488.7206249999999</v>
      </c>
      <c r="H30" s="105"/>
      <c r="I30" s="89"/>
    </row>
    <row r="31" spans="1:9" ht="15.75" thickTop="1" x14ac:dyDescent="0.25">
      <c r="A31" s="102"/>
      <c r="E31" s="89"/>
      <c r="F31" s="89"/>
      <c r="G31" s="89"/>
      <c r="H31" s="89"/>
      <c r="I31" s="89"/>
    </row>
    <row r="32" spans="1:9" x14ac:dyDescent="0.25">
      <c r="A32" s="88" t="s">
        <v>126</v>
      </c>
    </row>
    <row r="33" spans="1:9" x14ac:dyDescent="0.25">
      <c r="A33" s="90" t="s">
        <v>88</v>
      </c>
      <c r="B33" s="90">
        <v>0</v>
      </c>
      <c r="C33" s="90">
        <v>52</v>
      </c>
      <c r="D33" s="102">
        <f>C33*B33</f>
        <v>0</v>
      </c>
      <c r="E33" s="91">
        <v>0</v>
      </c>
      <c r="F33" s="89">
        <f>D33*E33</f>
        <v>0</v>
      </c>
      <c r="G33" s="91">
        <v>0</v>
      </c>
      <c r="H33" s="89"/>
    </row>
    <row r="34" spans="1:9" x14ac:dyDescent="0.25">
      <c r="A34" s="90" t="s">
        <v>87</v>
      </c>
      <c r="B34" s="90">
        <v>0</v>
      </c>
      <c r="C34" s="90">
        <v>52</v>
      </c>
      <c r="D34" s="102">
        <f t="shared" ref="D34:D36" si="6">C34*B34</f>
        <v>0</v>
      </c>
      <c r="E34" s="91">
        <v>0</v>
      </c>
      <c r="F34" s="89">
        <f t="shared" ref="F34:F36" si="7">D34*E34</f>
        <v>0</v>
      </c>
      <c r="G34" s="91">
        <v>0</v>
      </c>
      <c r="H34" s="89"/>
    </row>
    <row r="35" spans="1:9" x14ac:dyDescent="0.25">
      <c r="A35" s="90" t="s">
        <v>64</v>
      </c>
      <c r="B35" s="90">
        <v>0</v>
      </c>
      <c r="C35" s="90">
        <v>52</v>
      </c>
      <c r="D35" s="102">
        <f t="shared" si="6"/>
        <v>0</v>
      </c>
      <c r="E35" s="91">
        <v>0</v>
      </c>
      <c r="F35" s="89">
        <f t="shared" si="7"/>
        <v>0</v>
      </c>
      <c r="G35" s="91">
        <v>0</v>
      </c>
      <c r="H35" s="89"/>
    </row>
    <row r="36" spans="1:9" ht="17.25" x14ac:dyDescent="0.4">
      <c r="A36" s="90" t="s">
        <v>134</v>
      </c>
      <c r="B36" s="90">
        <v>0</v>
      </c>
      <c r="C36" s="90">
        <v>52</v>
      </c>
      <c r="D36" s="102">
        <f t="shared" si="6"/>
        <v>0</v>
      </c>
      <c r="E36" s="91">
        <v>0</v>
      </c>
      <c r="F36" s="89">
        <f t="shared" si="7"/>
        <v>0</v>
      </c>
      <c r="G36" s="100">
        <v>0</v>
      </c>
      <c r="H36" s="99"/>
    </row>
    <row r="37" spans="1:9" x14ac:dyDescent="0.25">
      <c r="A37" s="102"/>
      <c r="F37" s="89">
        <f>SUM(F33:F36)</f>
        <v>0</v>
      </c>
      <c r="G37" s="89">
        <f>SUM(G33:G36)</f>
        <v>0</v>
      </c>
      <c r="H37" s="89"/>
    </row>
    <row r="38" spans="1:9" ht="17.25" x14ac:dyDescent="0.4">
      <c r="A38" s="102"/>
      <c r="D38" s="157" t="s">
        <v>91</v>
      </c>
      <c r="E38" s="157"/>
      <c r="F38" s="99">
        <f>F37*K11</f>
        <v>0</v>
      </c>
      <c r="G38" s="99"/>
      <c r="H38" s="99"/>
    </row>
    <row r="39" spans="1:9" ht="15.75" thickBot="1" x14ac:dyDescent="0.3">
      <c r="A39" s="102"/>
      <c r="E39" s="89" t="s">
        <v>0</v>
      </c>
      <c r="F39" s="89">
        <f>F37+F38</f>
        <v>0</v>
      </c>
      <c r="G39" s="89"/>
      <c r="H39" s="89"/>
    </row>
    <row r="40" spans="1:9" ht="16.5" thickTop="1" thickBot="1" x14ac:dyDescent="0.3">
      <c r="A40" s="102"/>
      <c r="B40" s="86" t="s">
        <v>10</v>
      </c>
      <c r="D40" s="158" t="s">
        <v>15</v>
      </c>
      <c r="E40" s="158"/>
      <c r="F40" s="105">
        <f>F39/12</f>
        <v>0</v>
      </c>
      <c r="G40" s="112">
        <f>F40+G37</f>
        <v>0</v>
      </c>
      <c r="H40" s="105"/>
    </row>
    <row r="41" spans="1:9" ht="15.75" thickTop="1" x14ac:dyDescent="0.25">
      <c r="A41" s="102"/>
    </row>
    <row r="42" spans="1:9" x14ac:dyDescent="0.25">
      <c r="A42" s="88" t="s">
        <v>127</v>
      </c>
      <c r="D42" s="134" t="s">
        <v>10</v>
      </c>
    </row>
    <row r="43" spans="1:9" x14ac:dyDescent="0.25">
      <c r="A43" s="90" t="s">
        <v>88</v>
      </c>
      <c r="B43" s="90">
        <v>0</v>
      </c>
      <c r="C43" s="90">
        <v>52</v>
      </c>
      <c r="D43" s="102">
        <f>C43*B43</f>
        <v>0</v>
      </c>
      <c r="E43" s="113">
        <v>0</v>
      </c>
      <c r="F43" s="89">
        <f>D43*E43</f>
        <v>0</v>
      </c>
      <c r="G43" s="91">
        <v>0</v>
      </c>
      <c r="H43" s="89"/>
      <c r="I43" s="86" t="s">
        <v>10</v>
      </c>
    </row>
    <row r="44" spans="1:9" x14ac:dyDescent="0.25">
      <c r="A44" s="90" t="s">
        <v>87</v>
      </c>
      <c r="B44" s="90">
        <v>0</v>
      </c>
      <c r="C44" s="90">
        <v>52</v>
      </c>
      <c r="D44" s="102">
        <f t="shared" ref="D44:D46" si="8">C44*B44</f>
        <v>0</v>
      </c>
      <c r="E44" s="113">
        <v>0</v>
      </c>
      <c r="F44" s="89">
        <f t="shared" ref="F44:F46" si="9">D44*E44</f>
        <v>0</v>
      </c>
      <c r="G44" s="91">
        <v>0</v>
      </c>
      <c r="H44" s="89"/>
    </row>
    <row r="45" spans="1:9" x14ac:dyDescent="0.25">
      <c r="A45" s="90" t="s">
        <v>64</v>
      </c>
      <c r="B45" s="90">
        <v>0</v>
      </c>
      <c r="C45" s="90">
        <v>52</v>
      </c>
      <c r="D45" s="102">
        <f t="shared" si="8"/>
        <v>0</v>
      </c>
      <c r="E45" s="113">
        <v>0</v>
      </c>
      <c r="F45" s="89">
        <f t="shared" si="9"/>
        <v>0</v>
      </c>
      <c r="G45" s="91">
        <v>0</v>
      </c>
      <c r="H45" s="89"/>
    </row>
    <row r="46" spans="1:9" ht="17.25" x14ac:dyDescent="0.4">
      <c r="A46" s="90" t="s">
        <v>134</v>
      </c>
      <c r="B46" s="90">
        <v>0</v>
      </c>
      <c r="C46" s="90">
        <v>52</v>
      </c>
      <c r="D46" s="102">
        <f t="shared" si="8"/>
        <v>0</v>
      </c>
      <c r="E46" s="113">
        <v>0</v>
      </c>
      <c r="F46" s="89">
        <f t="shared" si="9"/>
        <v>0</v>
      </c>
      <c r="G46" s="100">
        <v>0</v>
      </c>
      <c r="H46" s="99"/>
    </row>
    <row r="47" spans="1:9" x14ac:dyDescent="0.25">
      <c r="A47" s="102"/>
      <c r="F47" s="89">
        <f>SUM(F43:F46)</f>
        <v>0</v>
      </c>
      <c r="G47" s="89">
        <f>SUM(G43:G46)</f>
        <v>0</v>
      </c>
      <c r="H47" s="89"/>
    </row>
    <row r="48" spans="1:9" ht="17.25" x14ac:dyDescent="0.4">
      <c r="A48" s="102"/>
      <c r="D48" s="157" t="s">
        <v>91</v>
      </c>
      <c r="E48" s="157"/>
      <c r="F48" s="99">
        <f>F47*K11</f>
        <v>0</v>
      </c>
      <c r="G48" s="99"/>
      <c r="H48" s="99"/>
    </row>
    <row r="49" spans="1:8" ht="18" thickBot="1" x14ac:dyDescent="0.45">
      <c r="A49" s="102"/>
      <c r="D49" s="135"/>
      <c r="E49" s="114"/>
      <c r="F49" s="89">
        <f>F47+F48</f>
        <v>0</v>
      </c>
      <c r="G49" s="99"/>
      <c r="H49" s="99"/>
    </row>
    <row r="50" spans="1:8" ht="16.5" thickTop="1" thickBot="1" x14ac:dyDescent="0.3">
      <c r="A50" s="102"/>
      <c r="D50" s="159" t="s">
        <v>15</v>
      </c>
      <c r="E50" s="158"/>
      <c r="F50" s="105">
        <f>F49/12</f>
        <v>0</v>
      </c>
      <c r="G50" s="112">
        <f>F50+G47</f>
        <v>0</v>
      </c>
      <c r="H50" s="105"/>
    </row>
    <row r="51" spans="1:8" ht="15.75" thickTop="1" x14ac:dyDescent="0.25">
      <c r="A51" s="102"/>
    </row>
    <row r="52" spans="1:8" x14ac:dyDescent="0.25">
      <c r="A52" s="88" t="s">
        <v>128</v>
      </c>
    </row>
    <row r="53" spans="1:8" x14ac:dyDescent="0.25">
      <c r="A53" s="90" t="s">
        <v>88</v>
      </c>
      <c r="B53" s="90">
        <v>0</v>
      </c>
      <c r="C53" s="90">
        <v>52</v>
      </c>
      <c r="D53" s="102">
        <f>C53*B53</f>
        <v>0</v>
      </c>
      <c r="E53" s="91">
        <v>0</v>
      </c>
      <c r="F53" s="89">
        <f>D53*E53</f>
        <v>0</v>
      </c>
      <c r="G53" s="113">
        <v>0</v>
      </c>
    </row>
    <row r="54" spans="1:8" x14ac:dyDescent="0.25">
      <c r="A54" s="90" t="s">
        <v>87</v>
      </c>
      <c r="B54" s="90">
        <v>0</v>
      </c>
      <c r="C54" s="90">
        <v>52</v>
      </c>
      <c r="D54" s="102">
        <f t="shared" ref="D54:D56" si="10">C54*B54</f>
        <v>0</v>
      </c>
      <c r="E54" s="91">
        <v>0</v>
      </c>
      <c r="F54" s="89">
        <f t="shared" ref="F54:F56" si="11">D54*E54</f>
        <v>0</v>
      </c>
      <c r="G54" s="113">
        <v>0</v>
      </c>
    </row>
    <row r="55" spans="1:8" x14ac:dyDescent="0.25">
      <c r="A55" s="90" t="s">
        <v>64</v>
      </c>
      <c r="B55" s="90">
        <v>0</v>
      </c>
      <c r="C55" s="90">
        <v>52</v>
      </c>
      <c r="D55" s="102">
        <f t="shared" si="10"/>
        <v>0</v>
      </c>
      <c r="E55" s="91">
        <v>0</v>
      </c>
      <c r="F55" s="89">
        <f t="shared" si="11"/>
        <v>0</v>
      </c>
      <c r="G55" s="113">
        <v>0</v>
      </c>
    </row>
    <row r="56" spans="1:8" ht="17.25" x14ac:dyDescent="0.4">
      <c r="A56" s="90" t="s">
        <v>134</v>
      </c>
      <c r="B56" s="90">
        <v>0</v>
      </c>
      <c r="C56" s="90">
        <v>52</v>
      </c>
      <c r="D56" s="102">
        <f t="shared" si="10"/>
        <v>0</v>
      </c>
      <c r="E56" s="91">
        <v>0</v>
      </c>
      <c r="F56" s="89">
        <f t="shared" si="11"/>
        <v>0</v>
      </c>
      <c r="G56" s="115">
        <v>0</v>
      </c>
    </row>
    <row r="57" spans="1:8" x14ac:dyDescent="0.25">
      <c r="F57" s="89">
        <f>SUM(F53:F56)</f>
        <v>0</v>
      </c>
      <c r="G57" s="89">
        <f>SUM(G53:G56)</f>
        <v>0</v>
      </c>
    </row>
    <row r="58" spans="1:8" ht="17.25" x14ac:dyDescent="0.4">
      <c r="D58" s="157" t="s">
        <v>91</v>
      </c>
      <c r="E58" s="157"/>
      <c r="F58" s="99">
        <f>F57*K11</f>
        <v>0</v>
      </c>
    </row>
    <row r="59" spans="1:8" ht="15.75" thickBot="1" x14ac:dyDescent="0.3">
      <c r="E59" s="89" t="s">
        <v>0</v>
      </c>
      <c r="F59" s="89">
        <f>F57+F58</f>
        <v>0</v>
      </c>
    </row>
    <row r="60" spans="1:8" ht="16.5" thickTop="1" thickBot="1" x14ac:dyDescent="0.3">
      <c r="B60" s="86" t="s">
        <v>10</v>
      </c>
      <c r="D60" s="158" t="s">
        <v>15</v>
      </c>
      <c r="E60" s="158"/>
      <c r="F60" s="105">
        <f>F59/12</f>
        <v>0</v>
      </c>
      <c r="G60" s="112">
        <f>F60+G57</f>
        <v>0</v>
      </c>
    </row>
    <row r="61" spans="1:8" ht="15.75" thickTop="1" x14ac:dyDescent="0.25"/>
    <row r="62" spans="1:8" x14ac:dyDescent="0.25">
      <c r="A62" s="88" t="s">
        <v>112</v>
      </c>
    </row>
    <row r="63" spans="1:8" x14ac:dyDescent="0.25">
      <c r="A63" s="90" t="s">
        <v>88</v>
      </c>
      <c r="B63" s="90">
        <v>30</v>
      </c>
      <c r="C63" s="90">
        <v>36</v>
      </c>
      <c r="D63" s="102">
        <f>C63*B63</f>
        <v>1080</v>
      </c>
      <c r="E63" s="91">
        <v>9.75</v>
      </c>
      <c r="F63" s="89">
        <f>D63*E63</f>
        <v>10530</v>
      </c>
      <c r="G63" s="113">
        <v>0</v>
      </c>
    </row>
    <row r="64" spans="1:8" x14ac:dyDescent="0.25">
      <c r="A64" s="90" t="s">
        <v>87</v>
      </c>
      <c r="B64" s="90">
        <v>24</v>
      </c>
      <c r="C64" s="90">
        <v>36</v>
      </c>
      <c r="D64" s="102">
        <f t="shared" ref="D64:D66" si="12">C64*B64</f>
        <v>864</v>
      </c>
      <c r="E64" s="91">
        <v>8.5</v>
      </c>
      <c r="F64" s="89">
        <f t="shared" ref="F64:F66" si="13">D64*E64</f>
        <v>7344</v>
      </c>
      <c r="G64" s="113">
        <v>0</v>
      </c>
    </row>
    <row r="65" spans="1:7" x14ac:dyDescent="0.25">
      <c r="A65" s="90" t="s">
        <v>64</v>
      </c>
      <c r="B65" s="90">
        <v>0</v>
      </c>
      <c r="C65" s="90">
        <v>36</v>
      </c>
      <c r="D65" s="102">
        <f t="shared" si="12"/>
        <v>0</v>
      </c>
      <c r="E65" s="91">
        <v>0</v>
      </c>
      <c r="F65" s="89">
        <f t="shared" si="13"/>
        <v>0</v>
      </c>
      <c r="G65" s="113">
        <v>0</v>
      </c>
    </row>
    <row r="66" spans="1:7" ht="17.25" x14ac:dyDescent="0.4">
      <c r="A66" s="90" t="s">
        <v>134</v>
      </c>
      <c r="B66" s="90">
        <v>0</v>
      </c>
      <c r="C66" s="90">
        <v>36</v>
      </c>
      <c r="D66" s="102">
        <f t="shared" si="12"/>
        <v>0</v>
      </c>
      <c r="E66" s="91">
        <v>0</v>
      </c>
      <c r="F66" s="89">
        <f t="shared" si="13"/>
        <v>0</v>
      </c>
      <c r="G66" s="115">
        <v>0</v>
      </c>
    </row>
    <row r="67" spans="1:7" x14ac:dyDescent="0.25">
      <c r="F67" s="89">
        <f>SUM(F63:F66)</f>
        <v>17874</v>
      </c>
      <c r="G67" s="89">
        <f>SUM(G63:G66)</f>
        <v>0</v>
      </c>
    </row>
    <row r="68" spans="1:7" ht="17.25" x14ac:dyDescent="0.4">
      <c r="D68" s="157" t="s">
        <v>91</v>
      </c>
      <c r="E68" s="157"/>
      <c r="F68" s="99">
        <f>F67*K11</f>
        <v>1671.2190000000001</v>
      </c>
    </row>
    <row r="69" spans="1:7" ht="15.75" thickBot="1" x14ac:dyDescent="0.3">
      <c r="E69" s="89" t="s">
        <v>0</v>
      </c>
      <c r="F69" s="89">
        <f>F67+F68</f>
        <v>19545.219000000001</v>
      </c>
    </row>
    <row r="70" spans="1:7" ht="16.5" thickTop="1" thickBot="1" x14ac:dyDescent="0.3">
      <c r="B70" s="86" t="s">
        <v>10</v>
      </c>
      <c r="D70" s="158" t="s">
        <v>15</v>
      </c>
      <c r="E70" s="158"/>
      <c r="F70" s="105">
        <f>F69/12</f>
        <v>1628.7682500000001</v>
      </c>
      <c r="G70" s="112">
        <f>F70+G67</f>
        <v>1628.7682500000001</v>
      </c>
    </row>
    <row r="71" spans="1:7" ht="15.75" thickTop="1" x14ac:dyDescent="0.25"/>
    <row r="72" spans="1:7" x14ac:dyDescent="0.25">
      <c r="A72" s="88" t="s">
        <v>113</v>
      </c>
    </row>
    <row r="73" spans="1:7" x14ac:dyDescent="0.25">
      <c r="A73" s="90" t="s">
        <v>89</v>
      </c>
      <c r="B73" s="90">
        <v>30</v>
      </c>
      <c r="C73" s="90">
        <v>12</v>
      </c>
      <c r="D73" s="102">
        <f>C73*B73</f>
        <v>360</v>
      </c>
      <c r="E73" s="91">
        <v>9.75</v>
      </c>
      <c r="F73" s="89">
        <f>D73*E73</f>
        <v>3510</v>
      </c>
      <c r="G73" s="113">
        <v>0</v>
      </c>
    </row>
    <row r="74" spans="1:7" x14ac:dyDescent="0.25">
      <c r="A74" s="90" t="s">
        <v>87</v>
      </c>
      <c r="B74" s="90">
        <v>24</v>
      </c>
      <c r="C74" s="90">
        <v>12</v>
      </c>
      <c r="D74" s="102">
        <f t="shared" ref="D74:D76" si="14">C74*B74</f>
        <v>288</v>
      </c>
      <c r="E74" s="91">
        <v>8.5</v>
      </c>
      <c r="F74" s="89">
        <f t="shared" ref="F74:F76" si="15">D74*E74</f>
        <v>2448</v>
      </c>
      <c r="G74" s="113">
        <v>0</v>
      </c>
    </row>
    <row r="75" spans="1:7" x14ac:dyDescent="0.25">
      <c r="A75" s="90" t="s">
        <v>64</v>
      </c>
      <c r="B75" s="90">
        <v>0</v>
      </c>
      <c r="C75" s="90">
        <v>12</v>
      </c>
      <c r="D75" s="102">
        <f t="shared" si="14"/>
        <v>0</v>
      </c>
      <c r="E75" s="91">
        <v>0</v>
      </c>
      <c r="F75" s="89">
        <f t="shared" si="15"/>
        <v>0</v>
      </c>
      <c r="G75" s="113">
        <v>0</v>
      </c>
    </row>
    <row r="76" spans="1:7" ht="17.25" x14ac:dyDescent="0.4">
      <c r="A76" s="90" t="s">
        <v>134</v>
      </c>
      <c r="B76" s="90">
        <v>0</v>
      </c>
      <c r="C76" s="90">
        <v>12</v>
      </c>
      <c r="D76" s="102">
        <f t="shared" si="14"/>
        <v>0</v>
      </c>
      <c r="E76" s="91">
        <v>0</v>
      </c>
      <c r="F76" s="89">
        <f t="shared" si="15"/>
        <v>0</v>
      </c>
      <c r="G76" s="115">
        <v>0</v>
      </c>
    </row>
    <row r="77" spans="1:7" x14ac:dyDescent="0.25">
      <c r="F77" s="89">
        <f>SUM(F73:F76)</f>
        <v>5958</v>
      </c>
      <c r="G77" s="89">
        <f>SUM(G73:G76)</f>
        <v>0</v>
      </c>
    </row>
    <row r="78" spans="1:7" ht="17.25" x14ac:dyDescent="0.4">
      <c r="D78" s="157" t="s">
        <v>91</v>
      </c>
      <c r="E78" s="157"/>
      <c r="F78" s="99">
        <f>F77*K11</f>
        <v>557.07299999999998</v>
      </c>
    </row>
    <row r="79" spans="1:7" ht="15.75" thickBot="1" x14ac:dyDescent="0.3">
      <c r="E79" s="89" t="s">
        <v>0</v>
      </c>
      <c r="F79" s="89">
        <f>F77+F78</f>
        <v>6515.0730000000003</v>
      </c>
    </row>
    <row r="80" spans="1:7" ht="16.5" thickTop="1" thickBot="1" x14ac:dyDescent="0.3">
      <c r="B80" s="86" t="s">
        <v>10</v>
      </c>
      <c r="D80" s="158" t="s">
        <v>15</v>
      </c>
      <c r="E80" s="158"/>
      <c r="F80" s="105">
        <f>F79/12</f>
        <v>542.92275000000006</v>
      </c>
      <c r="G80" s="112">
        <f>F80+G77</f>
        <v>542.92275000000006</v>
      </c>
    </row>
    <row r="81" spans="7:7" ht="15.75" thickTop="1" x14ac:dyDescent="0.25"/>
    <row r="82" spans="7:7" x14ac:dyDescent="0.25">
      <c r="G82" s="89"/>
    </row>
    <row r="83" spans="7:7" x14ac:dyDescent="0.25">
      <c r="G83" s="89"/>
    </row>
  </sheetData>
  <mergeCells count="18">
    <mergeCell ref="D38:E38"/>
    <mergeCell ref="D40:E40"/>
    <mergeCell ref="J13:R13"/>
    <mergeCell ref="J15:R15"/>
    <mergeCell ref="D78:E78"/>
    <mergeCell ref="D80:E80"/>
    <mergeCell ref="D8:E8"/>
    <mergeCell ref="D10:E10"/>
    <mergeCell ref="D18:E18"/>
    <mergeCell ref="D20:E20"/>
    <mergeCell ref="D68:E68"/>
    <mergeCell ref="D70:E70"/>
    <mergeCell ref="D58:E58"/>
    <mergeCell ref="D60:E60"/>
    <mergeCell ref="D48:E48"/>
    <mergeCell ref="D50:E50"/>
    <mergeCell ref="D28:E28"/>
    <mergeCell ref="D30:E30"/>
  </mergeCells>
  <phoneticPr fontId="4" type="noConversion"/>
  <pageMargins left="0.27" right="0.2" top="0.59" bottom="0.92" header="0.26" footer="0.24"/>
  <pageSetup scale="91" orientation="landscape" r:id="rId1"/>
  <headerFooter alignWithMargins="0">
    <oddHeader>&amp;C&amp;"Arial,Bold"&amp;11&amp;A</oddHeader>
    <oddFooter>&amp;L
&amp;G&amp;Cwww.FirstChildrensFinance.org
1-866-562-6801</oddFooter>
  </headerFooter>
  <rowBreaks count="1" manualBreakCount="1">
    <brk id="4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M37"/>
  <sheetViews>
    <sheetView topLeftCell="A31" workbookViewId="0">
      <selection activeCell="A35" sqref="A35:XFD35"/>
    </sheetView>
  </sheetViews>
  <sheetFormatPr defaultRowHeight="15" x14ac:dyDescent="0.25"/>
  <cols>
    <col min="1" max="1" width="27.140625" style="86" customWidth="1"/>
    <col min="2" max="2" width="11.28515625" style="86" bestFit="1" customWidth="1"/>
    <col min="3" max="4" width="9.85546875" style="86" customWidth="1"/>
    <col min="5" max="5" width="12.28515625" style="86" bestFit="1" customWidth="1"/>
    <col min="6" max="7" width="12.28515625" style="86" customWidth="1"/>
    <col min="8" max="9" width="11.28515625" style="86" bestFit="1" customWidth="1"/>
    <col min="10" max="10" width="13.42578125" style="86" bestFit="1" customWidth="1"/>
    <col min="11" max="11" width="10.85546875" style="86" bestFit="1" customWidth="1"/>
    <col min="12" max="12" width="3.7109375" style="86" customWidth="1"/>
    <col min="13" max="16384" width="9.140625" style="86"/>
  </cols>
  <sheetData>
    <row r="1" spans="1:13" ht="45" x14ac:dyDescent="0.25">
      <c r="A1" s="118" t="s">
        <v>90</v>
      </c>
      <c r="B1" s="117" t="s">
        <v>65</v>
      </c>
      <c r="C1" s="117" t="s">
        <v>167</v>
      </c>
      <c r="D1" s="117" t="s">
        <v>175</v>
      </c>
      <c r="E1" s="117" t="s">
        <v>13</v>
      </c>
      <c r="F1" s="117" t="s">
        <v>73</v>
      </c>
      <c r="G1" s="117" t="s">
        <v>138</v>
      </c>
      <c r="H1" s="117" t="s">
        <v>92</v>
      </c>
      <c r="I1" s="117" t="s">
        <v>94</v>
      </c>
    </row>
    <row r="2" spans="1:13" x14ac:dyDescent="0.25">
      <c r="A2" s="90" t="s">
        <v>168</v>
      </c>
      <c r="B2" s="130">
        <v>52</v>
      </c>
      <c r="C2" s="113">
        <v>18.75</v>
      </c>
      <c r="D2" s="136">
        <v>40</v>
      </c>
      <c r="E2" s="89">
        <f>B2*C2*D2</f>
        <v>39000</v>
      </c>
      <c r="F2" s="89">
        <f t="shared" ref="F2:F7" si="0">E2/12</f>
        <v>3250</v>
      </c>
      <c r="G2" s="89">
        <f t="shared" ref="G2:G7" si="1">F2*$H$17</f>
        <v>303.875</v>
      </c>
      <c r="H2" s="113">
        <v>625</v>
      </c>
      <c r="I2" s="89">
        <f t="shared" ref="I2:I8" si="2">F2+G2+H2</f>
        <v>4178.875</v>
      </c>
    </row>
    <row r="3" spans="1:13" x14ac:dyDescent="0.25">
      <c r="A3" s="90" t="s">
        <v>169</v>
      </c>
      <c r="B3" s="130">
        <v>52</v>
      </c>
      <c r="C3" s="113">
        <v>11</v>
      </c>
      <c r="D3" s="136">
        <v>20</v>
      </c>
      <c r="E3" s="89">
        <f t="shared" ref="E3:E7" si="3">B3*C3*D3</f>
        <v>11440</v>
      </c>
      <c r="F3" s="89">
        <f t="shared" si="0"/>
        <v>953.33333333333337</v>
      </c>
      <c r="G3" s="89">
        <f t="shared" si="1"/>
        <v>89.13666666666667</v>
      </c>
      <c r="H3" s="113">
        <v>0</v>
      </c>
      <c r="I3" s="89">
        <f t="shared" si="2"/>
        <v>1042.47</v>
      </c>
    </row>
    <row r="4" spans="1:13" ht="13.5" customHeight="1" x14ac:dyDescent="0.25">
      <c r="A4" s="90" t="s">
        <v>170</v>
      </c>
      <c r="B4" s="130">
        <v>52</v>
      </c>
      <c r="C4" s="113">
        <v>0</v>
      </c>
      <c r="D4" s="136">
        <v>0</v>
      </c>
      <c r="E4" s="89">
        <f t="shared" si="3"/>
        <v>0</v>
      </c>
      <c r="F4" s="89">
        <f t="shared" si="0"/>
        <v>0</v>
      </c>
      <c r="G4" s="89">
        <f t="shared" si="1"/>
        <v>0</v>
      </c>
      <c r="H4" s="113">
        <v>0</v>
      </c>
      <c r="I4" s="89">
        <f t="shared" si="2"/>
        <v>0</v>
      </c>
    </row>
    <row r="5" spans="1:13" x14ac:dyDescent="0.25">
      <c r="A5" s="90" t="s">
        <v>171</v>
      </c>
      <c r="B5" s="130">
        <v>52</v>
      </c>
      <c r="C5" s="113">
        <v>0</v>
      </c>
      <c r="D5" s="136">
        <v>0</v>
      </c>
      <c r="E5" s="89">
        <f t="shared" si="3"/>
        <v>0</v>
      </c>
      <c r="F5" s="89">
        <f t="shared" si="0"/>
        <v>0</v>
      </c>
      <c r="G5" s="89">
        <f t="shared" si="1"/>
        <v>0</v>
      </c>
      <c r="H5" s="113">
        <v>0</v>
      </c>
      <c r="I5" s="89">
        <f t="shared" si="2"/>
        <v>0</v>
      </c>
    </row>
    <row r="6" spans="1:13" x14ac:dyDescent="0.25">
      <c r="A6" s="90" t="s">
        <v>172</v>
      </c>
      <c r="B6" s="130">
        <v>52</v>
      </c>
      <c r="C6" s="113">
        <v>0</v>
      </c>
      <c r="D6" s="136">
        <v>0</v>
      </c>
      <c r="E6" s="89">
        <f t="shared" si="3"/>
        <v>0</v>
      </c>
      <c r="F6" s="89">
        <f t="shared" si="0"/>
        <v>0</v>
      </c>
      <c r="G6" s="89">
        <f t="shared" si="1"/>
        <v>0</v>
      </c>
      <c r="H6" s="113">
        <v>0</v>
      </c>
      <c r="I6" s="89">
        <f t="shared" si="2"/>
        <v>0</v>
      </c>
    </row>
    <row r="7" spans="1:13" ht="17.25" x14ac:dyDescent="0.4">
      <c r="A7" s="90" t="s">
        <v>173</v>
      </c>
      <c r="B7" s="130">
        <v>52</v>
      </c>
      <c r="C7" s="113">
        <v>0</v>
      </c>
      <c r="D7" s="136">
        <v>0</v>
      </c>
      <c r="E7" s="99">
        <f t="shared" si="3"/>
        <v>0</v>
      </c>
      <c r="F7" s="99">
        <f t="shared" si="0"/>
        <v>0</v>
      </c>
      <c r="G7" s="99">
        <f t="shared" si="1"/>
        <v>0</v>
      </c>
      <c r="H7" s="115">
        <v>0</v>
      </c>
      <c r="I7" s="99">
        <f t="shared" si="2"/>
        <v>0</v>
      </c>
    </row>
    <row r="8" spans="1:13" x14ac:dyDescent="0.25">
      <c r="E8" s="89">
        <f>SUM(E2:E7)</f>
        <v>50440</v>
      </c>
      <c r="F8" s="89">
        <f>SUM(F2:F7)</f>
        <v>4203.333333333333</v>
      </c>
      <c r="G8" s="89">
        <f>SUM(G2:G7)</f>
        <v>393.01166666666666</v>
      </c>
      <c r="H8" s="89">
        <f>SUM(H2:H7)</f>
        <v>625</v>
      </c>
      <c r="I8" s="89">
        <f t="shared" si="2"/>
        <v>5221.3449999999993</v>
      </c>
    </row>
    <row r="9" spans="1:13" x14ac:dyDescent="0.25">
      <c r="E9" s="119"/>
      <c r="F9" s="119"/>
      <c r="G9" s="119"/>
      <c r="H9" s="105"/>
      <c r="K9" s="89"/>
    </row>
    <row r="10" spans="1:13" x14ac:dyDescent="0.25">
      <c r="A10" s="118" t="s">
        <v>40</v>
      </c>
      <c r="E10" s="118"/>
      <c r="G10" s="120" t="s">
        <v>18</v>
      </c>
      <c r="H10" s="121" t="s">
        <v>93</v>
      </c>
      <c r="I10" s="92"/>
      <c r="K10" s="94"/>
      <c r="L10" s="97"/>
      <c r="M10" s="94"/>
    </row>
    <row r="11" spans="1:13" x14ac:dyDescent="0.25">
      <c r="A11" s="86" t="s">
        <v>37</v>
      </c>
      <c r="B11" s="113">
        <v>125</v>
      </c>
      <c r="C11" s="128"/>
      <c r="D11" s="128"/>
      <c r="G11" s="96" t="s">
        <v>19</v>
      </c>
      <c r="H11" s="97">
        <v>7.6499999999999999E-2</v>
      </c>
      <c r="I11" s="95"/>
    </row>
    <row r="12" spans="1:13" x14ac:dyDescent="0.25">
      <c r="A12" s="86" t="s">
        <v>35</v>
      </c>
      <c r="B12" s="113">
        <v>60</v>
      </c>
      <c r="C12" s="128"/>
      <c r="D12" s="128"/>
      <c r="E12" s="86" t="s">
        <v>10</v>
      </c>
      <c r="G12" s="96" t="s">
        <v>20</v>
      </c>
      <c r="H12" s="126">
        <f>'Room Staffing'!K6</f>
        <v>1.7000000000000001E-2</v>
      </c>
      <c r="I12" s="95"/>
    </row>
    <row r="13" spans="1:13" x14ac:dyDescent="0.25">
      <c r="A13" s="86" t="s">
        <v>160</v>
      </c>
      <c r="B13" s="113">
        <v>200</v>
      </c>
      <c r="C13" s="128"/>
      <c r="D13" s="128"/>
      <c r="G13" s="96" t="s">
        <v>21</v>
      </c>
      <c r="H13" s="126">
        <f>'Room Staffing'!K7</f>
        <v>0</v>
      </c>
      <c r="I13" s="95"/>
    </row>
    <row r="14" spans="1:13" x14ac:dyDescent="0.25">
      <c r="A14" s="86" t="s">
        <v>34</v>
      </c>
      <c r="B14" s="113">
        <v>300</v>
      </c>
      <c r="C14" s="128"/>
      <c r="D14" s="128"/>
      <c r="G14" s="96" t="s">
        <v>22</v>
      </c>
      <c r="H14" s="126">
        <f>'Room Staffing'!K8</f>
        <v>0</v>
      </c>
      <c r="I14" s="95"/>
    </row>
    <row r="15" spans="1:13" x14ac:dyDescent="0.25">
      <c r="A15" s="86" t="s">
        <v>25</v>
      </c>
      <c r="B15" s="113">
        <v>600</v>
      </c>
      <c r="C15" s="128"/>
      <c r="D15" s="128"/>
      <c r="E15" s="86" t="s">
        <v>10</v>
      </c>
      <c r="G15" s="96" t="s">
        <v>23</v>
      </c>
      <c r="H15" s="126">
        <f>'Room Staffing'!K9</f>
        <v>0</v>
      </c>
      <c r="I15" s="95"/>
    </row>
    <row r="16" spans="1:13" x14ac:dyDescent="0.25">
      <c r="A16" s="86" t="s">
        <v>32</v>
      </c>
      <c r="B16" s="113">
        <v>800</v>
      </c>
      <c r="C16" s="128"/>
      <c r="D16" s="128"/>
      <c r="G16" s="96" t="s">
        <v>24</v>
      </c>
      <c r="H16" s="127">
        <f>'Room Staffing'!K10</f>
        <v>0</v>
      </c>
      <c r="I16" s="95"/>
    </row>
    <row r="17" spans="1:9" x14ac:dyDescent="0.25">
      <c r="A17" s="86" t="s">
        <v>29</v>
      </c>
      <c r="B17" s="113">
        <v>400</v>
      </c>
      <c r="C17" s="128"/>
      <c r="D17" s="128"/>
      <c r="G17" s="108"/>
      <c r="H17" s="109">
        <f>SUM(H11:H16)</f>
        <v>9.35E-2</v>
      </c>
      <c r="I17" s="110"/>
    </row>
    <row r="18" spans="1:9" x14ac:dyDescent="0.25">
      <c r="A18" s="86" t="s">
        <v>26</v>
      </c>
      <c r="B18" s="113">
        <v>300</v>
      </c>
      <c r="C18" s="128"/>
      <c r="D18" s="128"/>
    </row>
    <row r="19" spans="1:9" x14ac:dyDescent="0.25">
      <c r="A19" s="86" t="s">
        <v>27</v>
      </c>
      <c r="B19" s="113">
        <v>60</v>
      </c>
      <c r="C19" s="128"/>
      <c r="D19" s="128"/>
    </row>
    <row r="20" spans="1:9" x14ac:dyDescent="0.25">
      <c r="A20" s="86" t="s">
        <v>28</v>
      </c>
      <c r="B20" s="113">
        <v>60</v>
      </c>
      <c r="C20" s="128"/>
      <c r="D20" s="128"/>
    </row>
    <row r="21" spans="1:9" x14ac:dyDescent="0.25">
      <c r="A21" s="86" t="s">
        <v>30</v>
      </c>
      <c r="B21" s="113">
        <v>0</v>
      </c>
      <c r="C21" s="128"/>
      <c r="D21" s="128"/>
    </row>
    <row r="22" spans="1:9" x14ac:dyDescent="0.25">
      <c r="A22" s="86" t="s">
        <v>31</v>
      </c>
      <c r="B22" s="113">
        <v>1500</v>
      </c>
      <c r="C22" s="128"/>
      <c r="D22" s="128"/>
    </row>
    <row r="23" spans="1:9" x14ac:dyDescent="0.25">
      <c r="A23" s="86" t="s">
        <v>161</v>
      </c>
      <c r="B23" s="113">
        <v>200</v>
      </c>
      <c r="C23" s="128"/>
      <c r="D23" s="128"/>
    </row>
    <row r="24" spans="1:9" x14ac:dyDescent="0.25">
      <c r="A24" s="86" t="s">
        <v>38</v>
      </c>
      <c r="B24" s="113">
        <v>250</v>
      </c>
      <c r="C24" s="128"/>
      <c r="D24" s="128"/>
    </row>
    <row r="25" spans="1:9" x14ac:dyDescent="0.25">
      <c r="A25" s="86" t="s">
        <v>159</v>
      </c>
      <c r="B25" s="113">
        <v>60</v>
      </c>
      <c r="C25" s="128"/>
      <c r="D25" s="128"/>
    </row>
    <row r="26" spans="1:9" x14ac:dyDescent="0.25">
      <c r="A26" s="86" t="s">
        <v>36</v>
      </c>
      <c r="B26" s="113">
        <v>0</v>
      </c>
      <c r="C26" s="128"/>
      <c r="D26" s="128"/>
    </row>
    <row r="27" spans="1:9" x14ac:dyDescent="0.25">
      <c r="A27" s="86" t="s">
        <v>33</v>
      </c>
      <c r="B27" s="113">
        <v>600</v>
      </c>
      <c r="C27" s="128"/>
      <c r="D27" s="128"/>
    </row>
    <row r="28" spans="1:9" x14ac:dyDescent="0.25">
      <c r="A28" s="86" t="s">
        <v>67</v>
      </c>
      <c r="B28" s="113">
        <v>40</v>
      </c>
      <c r="C28" s="128"/>
      <c r="D28" s="128"/>
    </row>
    <row r="29" spans="1:9" x14ac:dyDescent="0.25">
      <c r="A29" s="86" t="s">
        <v>68</v>
      </c>
      <c r="B29" s="113">
        <v>70</v>
      </c>
      <c r="C29" s="128"/>
      <c r="D29" s="128"/>
    </row>
    <row r="30" spans="1:9" x14ac:dyDescent="0.25">
      <c r="A30" s="86" t="s">
        <v>136</v>
      </c>
      <c r="B30" s="113">
        <v>0</v>
      </c>
      <c r="C30" s="128"/>
      <c r="D30" s="128"/>
    </row>
    <row r="31" spans="1:9" x14ac:dyDescent="0.25">
      <c r="A31" s="86" t="s">
        <v>137</v>
      </c>
      <c r="B31" s="113">
        <v>0</v>
      </c>
      <c r="C31" s="128"/>
      <c r="D31" s="128"/>
    </row>
    <row r="32" spans="1:9" x14ac:dyDescent="0.25">
      <c r="A32" s="86" t="s">
        <v>69</v>
      </c>
      <c r="B32" s="113">
        <v>0</v>
      </c>
      <c r="C32" s="128"/>
      <c r="D32" s="128"/>
    </row>
    <row r="33" spans="1:4" x14ac:dyDescent="0.25">
      <c r="A33" s="86" t="s">
        <v>66</v>
      </c>
      <c r="B33" s="113">
        <v>20</v>
      </c>
      <c r="C33" s="128"/>
      <c r="D33" s="128"/>
    </row>
    <row r="34" spans="1:4" x14ac:dyDescent="0.25">
      <c r="A34" s="86" t="s">
        <v>135</v>
      </c>
      <c r="B34" s="113">
        <v>20</v>
      </c>
      <c r="C34" s="128"/>
      <c r="D34" s="128"/>
    </row>
    <row r="35" spans="1:4" ht="17.25" x14ac:dyDescent="0.4">
      <c r="A35" s="86" t="s">
        <v>39</v>
      </c>
      <c r="B35" s="115">
        <v>40</v>
      </c>
      <c r="C35" s="129"/>
      <c r="D35" s="129"/>
    </row>
    <row r="36" spans="1:4" x14ac:dyDescent="0.25">
      <c r="B36" s="111"/>
      <c r="C36" s="111"/>
      <c r="D36" s="111"/>
    </row>
    <row r="37" spans="1:4" x14ac:dyDescent="0.25">
      <c r="A37" s="86" t="s">
        <v>0</v>
      </c>
      <c r="B37" s="89">
        <f>SUM(B11:B36)</f>
        <v>5705</v>
      </c>
      <c r="C37" s="89"/>
      <c r="D37" s="89"/>
    </row>
  </sheetData>
  <phoneticPr fontId="4" type="noConversion"/>
  <pageMargins left="0.47" right="0.18" top="0.36" bottom="0.5" header="0.17" footer="0.17"/>
  <pageSetup orientation="landscape" r:id="rId1"/>
  <headerFooter alignWithMargins="0">
    <oddHeader>&amp;C&amp;"Arial,Bold"&amp;11&amp;A</oddHeader>
    <oddFooter>&amp;Cwww.FirstChildrensFinance.org
1-866-562-6801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4"/>
  </sheetPr>
  <dimension ref="A1:W37"/>
  <sheetViews>
    <sheetView zoomScaleNormal="100" workbookViewId="0">
      <selection activeCell="B14" sqref="B14"/>
    </sheetView>
  </sheetViews>
  <sheetFormatPr defaultRowHeight="12.75" x14ac:dyDescent="0.2"/>
  <cols>
    <col min="1" max="1" width="45.7109375" style="137" customWidth="1"/>
    <col min="2" max="2" width="12.140625" style="137" customWidth="1"/>
    <col min="3" max="3" width="12.85546875" style="137" bestFit="1" customWidth="1"/>
    <col min="4" max="4" width="9.28515625" style="137" customWidth="1"/>
    <col min="5" max="5" width="12.42578125" style="137" bestFit="1" customWidth="1"/>
    <col min="6" max="6" width="9.28515625" style="137" customWidth="1"/>
    <col min="7" max="7" width="11" style="137" bestFit="1" customWidth="1"/>
    <col min="8" max="8" width="9.28515625" style="137" customWidth="1"/>
    <col min="9" max="9" width="11" style="137" bestFit="1" customWidth="1"/>
    <col min="10" max="10" width="9.42578125" style="137" bestFit="1" customWidth="1"/>
    <col min="11" max="11" width="9.85546875" style="137" bestFit="1" customWidth="1"/>
    <col min="12" max="12" width="9.28515625" style="137" customWidth="1"/>
    <col min="13" max="13" width="10.5703125" style="137" bestFit="1" customWidth="1"/>
    <col min="14" max="22" width="9.28515625" style="137" bestFit="1" customWidth="1"/>
    <col min="23" max="23" width="5.85546875" style="137" bestFit="1" customWidth="1"/>
    <col min="24" max="16384" width="9.140625" style="137"/>
  </cols>
  <sheetData>
    <row r="1" spans="1:23" ht="15" customHeight="1" x14ac:dyDescent="0.2"/>
    <row r="2" spans="1:23" ht="15" customHeight="1" x14ac:dyDescent="0.2">
      <c r="B2" s="160" t="s">
        <v>1</v>
      </c>
      <c r="C2" s="22" t="s">
        <v>41</v>
      </c>
    </row>
    <row r="3" spans="1:23" ht="15" customHeight="1" x14ac:dyDescent="0.2">
      <c r="B3" s="160"/>
      <c r="C3" s="138" t="s">
        <v>42</v>
      </c>
      <c r="D3" s="139" t="s">
        <v>70</v>
      </c>
      <c r="E3" s="138" t="s">
        <v>42</v>
      </c>
      <c r="F3" s="139" t="s">
        <v>70</v>
      </c>
      <c r="G3" s="138" t="s">
        <v>42</v>
      </c>
      <c r="H3" s="139" t="s">
        <v>70</v>
      </c>
      <c r="I3" s="138" t="s">
        <v>42</v>
      </c>
      <c r="J3" s="139" t="s">
        <v>70</v>
      </c>
      <c r="K3" s="138" t="s">
        <v>42</v>
      </c>
      <c r="L3" s="139" t="s">
        <v>70</v>
      </c>
      <c r="M3" s="138" t="s">
        <v>42</v>
      </c>
      <c r="N3" s="139" t="s">
        <v>70</v>
      </c>
      <c r="O3" s="138" t="s">
        <v>42</v>
      </c>
      <c r="P3" s="139" t="s">
        <v>70</v>
      </c>
      <c r="Q3" s="138" t="s">
        <v>42</v>
      </c>
      <c r="R3" s="139" t="s">
        <v>70</v>
      </c>
      <c r="S3" s="138" t="s">
        <v>42</v>
      </c>
      <c r="T3" s="139" t="s">
        <v>70</v>
      </c>
      <c r="U3" s="138" t="s">
        <v>42</v>
      </c>
      <c r="V3" s="139" t="s">
        <v>70</v>
      </c>
      <c r="W3" s="125" t="s">
        <v>0</v>
      </c>
    </row>
    <row r="4" spans="1:23" ht="15" customHeight="1" x14ac:dyDescent="0.2">
      <c r="A4" s="22" t="s">
        <v>101</v>
      </c>
      <c r="B4" s="22"/>
      <c r="C4" s="140" t="s">
        <v>75</v>
      </c>
      <c r="D4" s="141" t="s">
        <v>10</v>
      </c>
      <c r="E4" s="142" t="s">
        <v>76</v>
      </c>
      <c r="F4" s="141"/>
      <c r="G4" s="140" t="s">
        <v>77</v>
      </c>
      <c r="H4" s="141"/>
      <c r="I4" s="142" t="s">
        <v>78</v>
      </c>
      <c r="J4" s="141"/>
      <c r="K4" s="143" t="s">
        <v>103</v>
      </c>
      <c r="L4" s="143"/>
      <c r="M4" s="144" t="s">
        <v>79</v>
      </c>
      <c r="N4" s="145"/>
      <c r="O4" s="144" t="s">
        <v>80</v>
      </c>
      <c r="P4" s="145"/>
      <c r="Q4" s="144" t="s">
        <v>81</v>
      </c>
      <c r="R4" s="145"/>
      <c r="S4" s="144" t="s">
        <v>82</v>
      </c>
      <c r="T4" s="145"/>
      <c r="U4" s="144" t="s">
        <v>83</v>
      </c>
      <c r="V4" s="141"/>
    </row>
    <row r="5" spans="1:23" ht="15" customHeight="1" x14ac:dyDescent="0.2">
      <c r="A5" s="85" t="str">
        <f>'Room Staffing'!A2</f>
        <v>Infant Room</v>
      </c>
      <c r="B5" s="42">
        <v>8</v>
      </c>
      <c r="C5" s="84">
        <v>175</v>
      </c>
      <c r="D5" s="54">
        <v>3</v>
      </c>
      <c r="E5" s="84">
        <v>152</v>
      </c>
      <c r="F5" s="54">
        <v>1</v>
      </c>
      <c r="G5" s="84">
        <v>129</v>
      </c>
      <c r="H5" s="54">
        <v>1</v>
      </c>
      <c r="I5" s="84">
        <v>106</v>
      </c>
      <c r="J5" s="54">
        <v>2</v>
      </c>
      <c r="K5" s="84">
        <v>83</v>
      </c>
      <c r="L5" s="55">
        <v>0</v>
      </c>
      <c r="M5" s="84">
        <v>0</v>
      </c>
      <c r="N5" s="54">
        <v>0</v>
      </c>
      <c r="O5" s="84">
        <v>0</v>
      </c>
      <c r="P5" s="54">
        <v>0</v>
      </c>
      <c r="Q5" s="84">
        <v>0</v>
      </c>
      <c r="R5" s="54">
        <v>0</v>
      </c>
      <c r="S5" s="84">
        <v>0</v>
      </c>
      <c r="T5" s="54">
        <v>0</v>
      </c>
      <c r="U5" s="84">
        <v>0</v>
      </c>
      <c r="V5" s="54">
        <v>0</v>
      </c>
      <c r="W5" s="146">
        <f>D5+F5+H5+J5+L5+N5+P5+R5+T5+V5</f>
        <v>7</v>
      </c>
    </row>
    <row r="6" spans="1:23" ht="15" customHeight="1" x14ac:dyDescent="0.2">
      <c r="A6" s="85" t="str">
        <f>'Room Staffing'!A12</f>
        <v>Toddler Room</v>
      </c>
      <c r="B6" s="42">
        <v>10</v>
      </c>
      <c r="C6" s="84">
        <v>165</v>
      </c>
      <c r="D6" s="54">
        <v>6</v>
      </c>
      <c r="E6" s="84">
        <v>143</v>
      </c>
      <c r="F6" s="54">
        <v>2</v>
      </c>
      <c r="G6" s="84">
        <v>121</v>
      </c>
      <c r="H6" s="54">
        <v>2</v>
      </c>
      <c r="I6" s="84">
        <v>99</v>
      </c>
      <c r="J6" s="54">
        <v>2</v>
      </c>
      <c r="K6" s="84">
        <v>77</v>
      </c>
      <c r="L6" s="55">
        <v>0</v>
      </c>
      <c r="M6" s="84">
        <v>0</v>
      </c>
      <c r="N6" s="54">
        <v>0</v>
      </c>
      <c r="O6" s="84">
        <v>0</v>
      </c>
      <c r="P6" s="54">
        <v>0</v>
      </c>
      <c r="Q6" s="84">
        <v>0</v>
      </c>
      <c r="R6" s="54">
        <v>0</v>
      </c>
      <c r="S6" s="84">
        <v>0</v>
      </c>
      <c r="T6" s="54">
        <v>0</v>
      </c>
      <c r="U6" s="84">
        <v>0</v>
      </c>
      <c r="V6" s="54">
        <v>0</v>
      </c>
      <c r="W6" s="146">
        <f t="shared" ref="W6:W12" si="0">D6+F6+H6+J6+L6+N6+P6+R6+T6+V6</f>
        <v>12</v>
      </c>
    </row>
    <row r="7" spans="1:23" ht="15" customHeight="1" x14ac:dyDescent="0.2">
      <c r="A7" s="85" t="str">
        <f>'Room Staffing'!A22</f>
        <v>Pre-school Room</v>
      </c>
      <c r="B7" s="42">
        <v>10</v>
      </c>
      <c r="C7" s="84">
        <v>160</v>
      </c>
      <c r="D7" s="54">
        <v>3</v>
      </c>
      <c r="E7" s="84">
        <v>138</v>
      </c>
      <c r="F7" s="54">
        <v>5</v>
      </c>
      <c r="G7" s="84">
        <v>116</v>
      </c>
      <c r="H7" s="54">
        <v>3</v>
      </c>
      <c r="I7" s="84">
        <v>94</v>
      </c>
      <c r="J7" s="54">
        <v>0</v>
      </c>
      <c r="K7" s="84">
        <v>72</v>
      </c>
      <c r="L7" s="55">
        <v>0</v>
      </c>
      <c r="M7" s="84">
        <v>0</v>
      </c>
      <c r="N7" s="54">
        <v>0</v>
      </c>
      <c r="O7" s="84">
        <v>0</v>
      </c>
      <c r="P7" s="54">
        <v>0</v>
      </c>
      <c r="Q7" s="84">
        <v>0</v>
      </c>
      <c r="R7" s="54">
        <v>0</v>
      </c>
      <c r="S7" s="84">
        <v>0</v>
      </c>
      <c r="T7" s="54">
        <v>0</v>
      </c>
      <c r="U7" s="84">
        <v>0</v>
      </c>
      <c r="V7" s="54">
        <v>0</v>
      </c>
      <c r="W7" s="146">
        <f t="shared" si="0"/>
        <v>11</v>
      </c>
    </row>
    <row r="8" spans="1:23" ht="15" customHeight="1" x14ac:dyDescent="0.2">
      <c r="A8" s="85" t="str">
        <f>'Room Staffing'!A32</f>
        <v>Classroom #4</v>
      </c>
      <c r="B8" s="42">
        <v>0</v>
      </c>
      <c r="C8" s="84">
        <v>0</v>
      </c>
      <c r="D8" s="54">
        <v>0</v>
      </c>
      <c r="E8" s="84">
        <v>0</v>
      </c>
      <c r="F8" s="54">
        <v>0</v>
      </c>
      <c r="G8" s="84">
        <v>0</v>
      </c>
      <c r="H8" s="54">
        <v>0</v>
      </c>
      <c r="I8" s="84">
        <v>0</v>
      </c>
      <c r="J8" s="54">
        <v>0</v>
      </c>
      <c r="K8" s="84">
        <v>0</v>
      </c>
      <c r="L8" s="55">
        <v>0</v>
      </c>
      <c r="M8" s="84">
        <v>0</v>
      </c>
      <c r="N8" s="54">
        <v>0</v>
      </c>
      <c r="O8" s="84">
        <v>0</v>
      </c>
      <c r="P8" s="54">
        <v>0</v>
      </c>
      <c r="Q8" s="84">
        <v>0</v>
      </c>
      <c r="R8" s="54">
        <v>0</v>
      </c>
      <c r="S8" s="84">
        <v>0</v>
      </c>
      <c r="T8" s="54">
        <v>0</v>
      </c>
      <c r="U8" s="84">
        <v>0</v>
      </c>
      <c r="V8" s="54">
        <v>0</v>
      </c>
      <c r="W8" s="146">
        <f t="shared" si="0"/>
        <v>0</v>
      </c>
    </row>
    <row r="9" spans="1:23" ht="15" customHeight="1" x14ac:dyDescent="0.2">
      <c r="A9" s="85" t="str">
        <f>'Room Staffing'!A42</f>
        <v>Classroom #5</v>
      </c>
      <c r="B9" s="42">
        <v>0</v>
      </c>
      <c r="C9" s="84">
        <v>0</v>
      </c>
      <c r="D9" s="54">
        <v>0</v>
      </c>
      <c r="E9" s="84">
        <v>0</v>
      </c>
      <c r="F9" s="54">
        <v>0</v>
      </c>
      <c r="G9" s="84">
        <v>0</v>
      </c>
      <c r="H9" s="54">
        <v>0</v>
      </c>
      <c r="I9" s="84">
        <v>0</v>
      </c>
      <c r="J9" s="54">
        <v>0</v>
      </c>
      <c r="K9" s="84">
        <v>0</v>
      </c>
      <c r="L9" s="55">
        <v>0</v>
      </c>
      <c r="M9" s="84">
        <v>0</v>
      </c>
      <c r="N9" s="54">
        <v>0</v>
      </c>
      <c r="O9" s="84">
        <v>0</v>
      </c>
      <c r="P9" s="54">
        <v>0</v>
      </c>
      <c r="Q9" s="84">
        <v>0</v>
      </c>
      <c r="R9" s="54">
        <v>0</v>
      </c>
      <c r="S9" s="84">
        <v>0</v>
      </c>
      <c r="T9" s="54">
        <v>0</v>
      </c>
      <c r="U9" s="84">
        <v>0</v>
      </c>
      <c r="V9" s="54">
        <v>0</v>
      </c>
      <c r="W9" s="146">
        <f t="shared" si="0"/>
        <v>0</v>
      </c>
    </row>
    <row r="10" spans="1:23" ht="15" customHeight="1" x14ac:dyDescent="0.2">
      <c r="A10" s="85" t="str">
        <f>'Room Staffing'!A52</f>
        <v>Classroom #6</v>
      </c>
      <c r="B10" s="42">
        <v>0</v>
      </c>
      <c r="C10" s="84">
        <v>0</v>
      </c>
      <c r="D10" s="54">
        <v>0</v>
      </c>
      <c r="E10" s="84">
        <v>0</v>
      </c>
      <c r="F10" s="54">
        <v>0</v>
      </c>
      <c r="G10" s="84">
        <v>0</v>
      </c>
      <c r="H10" s="54">
        <v>0</v>
      </c>
      <c r="I10" s="84">
        <v>0</v>
      </c>
      <c r="J10" s="54">
        <v>0</v>
      </c>
      <c r="K10" s="84">
        <v>0</v>
      </c>
      <c r="L10" s="55">
        <v>0</v>
      </c>
      <c r="M10" s="84">
        <v>0</v>
      </c>
      <c r="N10" s="54">
        <v>0</v>
      </c>
      <c r="O10" s="84">
        <v>0</v>
      </c>
      <c r="P10" s="54">
        <v>0</v>
      </c>
      <c r="Q10" s="84">
        <v>0</v>
      </c>
      <c r="R10" s="54">
        <v>0</v>
      </c>
      <c r="S10" s="84">
        <v>0</v>
      </c>
      <c r="T10" s="54">
        <v>0</v>
      </c>
      <c r="U10" s="84">
        <v>0</v>
      </c>
      <c r="V10" s="54">
        <v>0</v>
      </c>
      <c r="W10" s="146">
        <f t="shared" si="0"/>
        <v>0</v>
      </c>
    </row>
    <row r="11" spans="1:23" ht="15" customHeight="1" x14ac:dyDescent="0.2">
      <c r="A11" s="85" t="str">
        <f>'Room Staffing'!A62</f>
        <v>Before/After School</v>
      </c>
      <c r="B11" s="42">
        <v>12</v>
      </c>
      <c r="C11" s="84">
        <v>125</v>
      </c>
      <c r="D11" s="54">
        <v>5</v>
      </c>
      <c r="E11" s="84">
        <v>105</v>
      </c>
      <c r="F11" s="54">
        <v>3</v>
      </c>
      <c r="G11" s="84">
        <v>85</v>
      </c>
      <c r="H11" s="54">
        <v>4</v>
      </c>
      <c r="I11" s="84">
        <v>65</v>
      </c>
      <c r="J11" s="54">
        <v>2</v>
      </c>
      <c r="K11" s="84">
        <v>45</v>
      </c>
      <c r="L11" s="55">
        <v>0</v>
      </c>
      <c r="M11" s="84">
        <v>0</v>
      </c>
      <c r="N11" s="54">
        <v>0</v>
      </c>
      <c r="O11" s="84">
        <v>0</v>
      </c>
      <c r="P11" s="54">
        <v>0</v>
      </c>
      <c r="Q11" s="84">
        <v>0</v>
      </c>
      <c r="R11" s="54">
        <v>0</v>
      </c>
      <c r="S11" s="84">
        <v>0</v>
      </c>
      <c r="T11" s="54">
        <v>0</v>
      </c>
      <c r="U11" s="84">
        <v>0</v>
      </c>
      <c r="V11" s="54">
        <v>0</v>
      </c>
      <c r="W11" s="146">
        <f t="shared" si="0"/>
        <v>14</v>
      </c>
    </row>
    <row r="12" spans="1:23" ht="15" customHeight="1" x14ac:dyDescent="0.2">
      <c r="A12" s="85" t="str">
        <f>'Room Staffing'!A72</f>
        <v>Summer School Age</v>
      </c>
      <c r="B12" s="43">
        <v>12</v>
      </c>
      <c r="C12" s="84">
        <v>160</v>
      </c>
      <c r="D12" s="44">
        <v>5</v>
      </c>
      <c r="E12" s="84">
        <v>138</v>
      </c>
      <c r="F12" s="44">
        <v>3</v>
      </c>
      <c r="G12" s="84">
        <v>116</v>
      </c>
      <c r="H12" s="44">
        <v>4</v>
      </c>
      <c r="I12" s="84">
        <v>94</v>
      </c>
      <c r="J12" s="44">
        <v>2</v>
      </c>
      <c r="K12" s="84">
        <v>72</v>
      </c>
      <c r="L12" s="51">
        <v>0</v>
      </c>
      <c r="M12" s="84">
        <v>0</v>
      </c>
      <c r="N12" s="44">
        <v>0</v>
      </c>
      <c r="O12" s="84">
        <v>0</v>
      </c>
      <c r="P12" s="44">
        <v>0</v>
      </c>
      <c r="Q12" s="84">
        <v>0</v>
      </c>
      <c r="R12" s="44">
        <v>0</v>
      </c>
      <c r="S12" s="84">
        <v>0</v>
      </c>
      <c r="T12" s="44">
        <v>0</v>
      </c>
      <c r="U12" s="84">
        <v>0</v>
      </c>
      <c r="V12" s="44">
        <v>0</v>
      </c>
      <c r="W12" s="146">
        <f t="shared" si="0"/>
        <v>14</v>
      </c>
    </row>
    <row r="13" spans="1:23" ht="15" customHeight="1" x14ac:dyDescent="0.2">
      <c r="A13" s="33" t="s">
        <v>0</v>
      </c>
      <c r="B13" s="22">
        <f>SUM(B5:B12)-B12</f>
        <v>40</v>
      </c>
      <c r="C13" s="147"/>
      <c r="D13" s="148">
        <f>SUM(D5:D12)-D12</f>
        <v>17</v>
      </c>
      <c r="E13" s="147"/>
      <c r="F13" s="148">
        <f>SUM(F5:F12)-F12</f>
        <v>11</v>
      </c>
      <c r="G13" s="149"/>
      <c r="H13" s="148">
        <f>SUM(H5:H12)-H12</f>
        <v>10</v>
      </c>
      <c r="I13" s="147"/>
      <c r="J13" s="148">
        <f>SUM(J5:J12)-J12</f>
        <v>6</v>
      </c>
      <c r="K13" s="150"/>
      <c r="L13" s="148">
        <f>SUM(L5:L12)-L12</f>
        <v>0</v>
      </c>
      <c r="M13" s="149"/>
      <c r="N13" s="148">
        <f>SUM(N5:N12)-N12</f>
        <v>0</v>
      </c>
      <c r="O13" s="149"/>
      <c r="P13" s="148">
        <f>SUM(P5:P12)-P12</f>
        <v>0</v>
      </c>
      <c r="Q13" s="149"/>
      <c r="R13" s="148">
        <f>SUM(R5:R12)-R12</f>
        <v>0</v>
      </c>
      <c r="S13" s="149"/>
      <c r="T13" s="148">
        <f>SUM(T5:T12)-T12</f>
        <v>0</v>
      </c>
      <c r="U13" s="149"/>
      <c r="V13" s="148">
        <f>SUM(V5:V12)-V12</f>
        <v>0</v>
      </c>
      <c r="W13" s="151">
        <f>SUM(D13:V13)</f>
        <v>44</v>
      </c>
    </row>
    <row r="14" spans="1:23" ht="15" customHeight="1" x14ac:dyDescent="0.2">
      <c r="A14" s="33"/>
      <c r="B14" s="22"/>
      <c r="C14" s="152"/>
      <c r="E14" s="152"/>
    </row>
    <row r="15" spans="1:23" ht="15" customHeight="1" x14ac:dyDescent="0.2">
      <c r="A15" s="22" t="s">
        <v>101</v>
      </c>
      <c r="B15" s="22"/>
      <c r="C15" s="152" t="s">
        <v>71</v>
      </c>
      <c r="E15" s="152"/>
    </row>
    <row r="16" spans="1:23" ht="15" customHeight="1" x14ac:dyDescent="0.2">
      <c r="A16" s="85" t="str">
        <f>A5</f>
        <v>Infant Room</v>
      </c>
      <c r="C16" s="152">
        <f t="shared" ref="C16:C23" si="1">C5/10</f>
        <v>17.5</v>
      </c>
      <c r="E16" s="152">
        <f t="shared" ref="E16:E23" si="2">E5/8</f>
        <v>19</v>
      </c>
      <c r="G16" s="153">
        <f t="shared" ref="G16:G23" si="3">G5/6</f>
        <v>21.5</v>
      </c>
      <c r="I16" s="153">
        <f t="shared" ref="I16:I23" si="4">I5/4</f>
        <v>26.5</v>
      </c>
      <c r="K16" s="153">
        <f t="shared" ref="K16:K23" si="5">K5/2</f>
        <v>41.5</v>
      </c>
      <c r="M16" s="153">
        <f t="shared" ref="M16:M23" si="6">M5/5</f>
        <v>0</v>
      </c>
      <c r="O16" s="153">
        <f t="shared" ref="O16:O23" si="7">O5/4</f>
        <v>0</v>
      </c>
      <c r="Q16" s="153">
        <f t="shared" ref="Q16:Q23" si="8">Q5/3</f>
        <v>0</v>
      </c>
      <c r="S16" s="153">
        <f t="shared" ref="S16:S23" si="9">S5/2</f>
        <v>0</v>
      </c>
      <c r="U16" s="153">
        <f t="shared" ref="U16:U23" si="10">U5</f>
        <v>0</v>
      </c>
    </row>
    <row r="17" spans="1:21" ht="15" customHeight="1" x14ac:dyDescent="0.2">
      <c r="A17" s="85" t="str">
        <f t="shared" ref="A17:A23" si="11">A6</f>
        <v>Toddler Room</v>
      </c>
      <c r="C17" s="152">
        <f t="shared" si="1"/>
        <v>16.5</v>
      </c>
      <c r="E17" s="152">
        <f t="shared" si="2"/>
        <v>17.875</v>
      </c>
      <c r="G17" s="153">
        <f t="shared" si="3"/>
        <v>20.166666666666668</v>
      </c>
      <c r="I17" s="153">
        <f t="shared" si="4"/>
        <v>24.75</v>
      </c>
      <c r="K17" s="153">
        <f t="shared" si="5"/>
        <v>38.5</v>
      </c>
      <c r="M17" s="153">
        <f t="shared" si="6"/>
        <v>0</v>
      </c>
      <c r="O17" s="153">
        <f t="shared" si="7"/>
        <v>0</v>
      </c>
      <c r="Q17" s="153">
        <f t="shared" si="8"/>
        <v>0</v>
      </c>
      <c r="S17" s="153">
        <f t="shared" si="9"/>
        <v>0</v>
      </c>
      <c r="U17" s="153">
        <f t="shared" si="10"/>
        <v>0</v>
      </c>
    </row>
    <row r="18" spans="1:21" ht="15" customHeight="1" x14ac:dyDescent="0.2">
      <c r="A18" s="85" t="str">
        <f t="shared" si="11"/>
        <v>Pre-school Room</v>
      </c>
      <c r="C18" s="152">
        <f t="shared" si="1"/>
        <v>16</v>
      </c>
      <c r="E18" s="152">
        <f t="shared" si="2"/>
        <v>17.25</v>
      </c>
      <c r="G18" s="153">
        <f t="shared" si="3"/>
        <v>19.333333333333332</v>
      </c>
      <c r="I18" s="153">
        <f t="shared" si="4"/>
        <v>23.5</v>
      </c>
      <c r="K18" s="153">
        <f t="shared" si="5"/>
        <v>36</v>
      </c>
      <c r="M18" s="153">
        <f t="shared" si="6"/>
        <v>0</v>
      </c>
      <c r="O18" s="153">
        <f t="shared" si="7"/>
        <v>0</v>
      </c>
      <c r="Q18" s="153">
        <f t="shared" si="8"/>
        <v>0</v>
      </c>
      <c r="S18" s="153">
        <f t="shared" si="9"/>
        <v>0</v>
      </c>
      <c r="U18" s="153">
        <f t="shared" si="10"/>
        <v>0</v>
      </c>
    </row>
    <row r="19" spans="1:21" ht="15" customHeight="1" x14ac:dyDescent="0.2">
      <c r="A19" s="85" t="str">
        <f t="shared" si="11"/>
        <v>Classroom #4</v>
      </c>
      <c r="C19" s="152">
        <f t="shared" si="1"/>
        <v>0</v>
      </c>
      <c r="E19" s="152">
        <f t="shared" si="2"/>
        <v>0</v>
      </c>
      <c r="G19" s="153">
        <f t="shared" si="3"/>
        <v>0</v>
      </c>
      <c r="I19" s="153">
        <f t="shared" si="4"/>
        <v>0</v>
      </c>
      <c r="K19" s="153">
        <f t="shared" si="5"/>
        <v>0</v>
      </c>
      <c r="M19" s="153">
        <f t="shared" si="6"/>
        <v>0</v>
      </c>
      <c r="O19" s="153">
        <f t="shared" si="7"/>
        <v>0</v>
      </c>
      <c r="Q19" s="153">
        <f t="shared" si="8"/>
        <v>0</v>
      </c>
      <c r="S19" s="153">
        <f t="shared" si="9"/>
        <v>0</v>
      </c>
      <c r="U19" s="153">
        <f t="shared" si="10"/>
        <v>0</v>
      </c>
    </row>
    <row r="20" spans="1:21" ht="15" customHeight="1" x14ac:dyDescent="0.2">
      <c r="A20" s="85" t="str">
        <f t="shared" si="11"/>
        <v>Classroom #5</v>
      </c>
      <c r="C20" s="152">
        <f t="shared" si="1"/>
        <v>0</v>
      </c>
      <c r="E20" s="152">
        <f t="shared" si="2"/>
        <v>0</v>
      </c>
      <c r="G20" s="153">
        <f t="shared" si="3"/>
        <v>0</v>
      </c>
      <c r="I20" s="153">
        <f t="shared" si="4"/>
        <v>0</v>
      </c>
      <c r="K20" s="153">
        <f t="shared" si="5"/>
        <v>0</v>
      </c>
      <c r="M20" s="153">
        <f t="shared" si="6"/>
        <v>0</v>
      </c>
      <c r="O20" s="153">
        <f t="shared" si="7"/>
        <v>0</v>
      </c>
      <c r="Q20" s="153">
        <f t="shared" si="8"/>
        <v>0</v>
      </c>
      <c r="S20" s="153">
        <f t="shared" si="9"/>
        <v>0</v>
      </c>
      <c r="U20" s="153">
        <f t="shared" si="10"/>
        <v>0</v>
      </c>
    </row>
    <row r="21" spans="1:21" ht="15" customHeight="1" x14ac:dyDescent="0.2">
      <c r="A21" s="85" t="str">
        <f t="shared" si="11"/>
        <v>Classroom #6</v>
      </c>
      <c r="C21" s="152">
        <f t="shared" si="1"/>
        <v>0</v>
      </c>
      <c r="E21" s="152">
        <f t="shared" si="2"/>
        <v>0</v>
      </c>
      <c r="G21" s="153">
        <f t="shared" si="3"/>
        <v>0</v>
      </c>
      <c r="I21" s="153">
        <f t="shared" si="4"/>
        <v>0</v>
      </c>
      <c r="K21" s="153">
        <f t="shared" si="5"/>
        <v>0</v>
      </c>
      <c r="M21" s="153">
        <f t="shared" si="6"/>
        <v>0</v>
      </c>
      <c r="O21" s="153">
        <f t="shared" si="7"/>
        <v>0</v>
      </c>
      <c r="Q21" s="153">
        <f t="shared" si="8"/>
        <v>0</v>
      </c>
      <c r="S21" s="153">
        <f t="shared" si="9"/>
        <v>0</v>
      </c>
      <c r="U21" s="153">
        <f t="shared" si="10"/>
        <v>0</v>
      </c>
    </row>
    <row r="22" spans="1:21" ht="15" customHeight="1" x14ac:dyDescent="0.2">
      <c r="A22" s="85" t="str">
        <f t="shared" si="11"/>
        <v>Before/After School</v>
      </c>
      <c r="C22" s="152">
        <f t="shared" si="1"/>
        <v>12.5</v>
      </c>
      <c r="E22" s="152">
        <f t="shared" si="2"/>
        <v>13.125</v>
      </c>
      <c r="G22" s="153">
        <f t="shared" si="3"/>
        <v>14.166666666666666</v>
      </c>
      <c r="I22" s="153">
        <f t="shared" si="4"/>
        <v>16.25</v>
      </c>
      <c r="K22" s="153">
        <f t="shared" si="5"/>
        <v>22.5</v>
      </c>
      <c r="M22" s="153">
        <f t="shared" si="6"/>
        <v>0</v>
      </c>
      <c r="O22" s="153">
        <f t="shared" si="7"/>
        <v>0</v>
      </c>
      <c r="Q22" s="153">
        <f t="shared" si="8"/>
        <v>0</v>
      </c>
      <c r="S22" s="153">
        <f t="shared" si="9"/>
        <v>0</v>
      </c>
      <c r="U22" s="153">
        <f t="shared" si="10"/>
        <v>0</v>
      </c>
    </row>
    <row r="23" spans="1:21" ht="15" customHeight="1" x14ac:dyDescent="0.2">
      <c r="A23" s="85" t="str">
        <f t="shared" si="11"/>
        <v>Summer School Age</v>
      </c>
      <c r="C23" s="152">
        <f t="shared" si="1"/>
        <v>16</v>
      </c>
      <c r="E23" s="152">
        <f t="shared" si="2"/>
        <v>17.25</v>
      </c>
      <c r="G23" s="153">
        <f t="shared" si="3"/>
        <v>19.333333333333332</v>
      </c>
      <c r="I23" s="153">
        <f t="shared" si="4"/>
        <v>23.5</v>
      </c>
      <c r="K23" s="153">
        <f t="shared" si="5"/>
        <v>36</v>
      </c>
      <c r="M23" s="153">
        <f t="shared" si="6"/>
        <v>0</v>
      </c>
      <c r="O23" s="153">
        <f t="shared" si="7"/>
        <v>0</v>
      </c>
      <c r="Q23" s="153">
        <f t="shared" si="8"/>
        <v>0</v>
      </c>
      <c r="S23" s="153">
        <f t="shared" si="9"/>
        <v>0</v>
      </c>
      <c r="U23" s="153">
        <f t="shared" si="10"/>
        <v>0</v>
      </c>
    </row>
    <row r="24" spans="1:21" x14ac:dyDescent="0.2">
      <c r="C24" s="152"/>
      <c r="E24" s="152"/>
    </row>
    <row r="25" spans="1:21" x14ac:dyDescent="0.2">
      <c r="C25" s="152"/>
      <c r="E25" s="152"/>
    </row>
    <row r="26" spans="1:21" x14ac:dyDescent="0.2">
      <c r="C26" s="152"/>
      <c r="E26" s="152"/>
    </row>
    <row r="27" spans="1:21" ht="25.5" x14ac:dyDescent="0.2">
      <c r="A27" s="22" t="s">
        <v>72</v>
      </c>
      <c r="C27" s="152" t="s">
        <v>10</v>
      </c>
      <c r="D27" s="154" t="s">
        <v>84</v>
      </c>
      <c r="E27" s="137" t="s">
        <v>10</v>
      </c>
    </row>
    <row r="28" spans="1:21" x14ac:dyDescent="0.2">
      <c r="A28" s="85" t="str">
        <f>A16</f>
        <v>Infant Room</v>
      </c>
      <c r="C28" s="152">
        <f t="shared" ref="C28:C35" si="12">(C5*D5)+(E5*F5)+(G5*H5)+(I5*J5)+(K5*L5)+(M5*N5)+(O5*P5)+(Q5*R5)+(S5*T5)+(U5*V5)</f>
        <v>1018</v>
      </c>
      <c r="D28" s="137">
        <f t="shared" ref="D28:D35" si="13">(D5*10)+(F5*8)+(H5*6)+(J5*4)+(L5*2)+(N5*5)+(P5*4)+(R5*3)+(T5*2)+(V5*1)</f>
        <v>52</v>
      </c>
      <c r="E28" s="155" t="s">
        <v>10</v>
      </c>
    </row>
    <row r="29" spans="1:21" x14ac:dyDescent="0.2">
      <c r="A29" s="85" t="str">
        <f t="shared" ref="A29:A35" si="14">A17</f>
        <v>Toddler Room</v>
      </c>
      <c r="C29" s="152">
        <f t="shared" si="12"/>
        <v>1716</v>
      </c>
      <c r="D29" s="137">
        <f t="shared" si="13"/>
        <v>96</v>
      </c>
      <c r="E29" s="137" t="s">
        <v>10</v>
      </c>
    </row>
    <row r="30" spans="1:21" x14ac:dyDescent="0.2">
      <c r="A30" s="85" t="str">
        <f t="shared" si="14"/>
        <v>Pre-school Room</v>
      </c>
      <c r="C30" s="152">
        <f t="shared" si="12"/>
        <v>1518</v>
      </c>
      <c r="D30" s="137">
        <f t="shared" si="13"/>
        <v>88</v>
      </c>
      <c r="E30" s="137" t="s">
        <v>10</v>
      </c>
    </row>
    <row r="31" spans="1:21" x14ac:dyDescent="0.2">
      <c r="A31" s="85" t="str">
        <f t="shared" si="14"/>
        <v>Classroom #4</v>
      </c>
      <c r="C31" s="152">
        <f t="shared" si="12"/>
        <v>0</v>
      </c>
      <c r="D31" s="137">
        <f t="shared" si="13"/>
        <v>0</v>
      </c>
    </row>
    <row r="32" spans="1:21" x14ac:dyDescent="0.2">
      <c r="A32" s="85" t="str">
        <f t="shared" si="14"/>
        <v>Classroom #5</v>
      </c>
      <c r="C32" s="152">
        <f t="shared" si="12"/>
        <v>0</v>
      </c>
      <c r="D32" s="137">
        <f t="shared" si="13"/>
        <v>0</v>
      </c>
    </row>
    <row r="33" spans="1:4" x14ac:dyDescent="0.2">
      <c r="A33" s="85" t="str">
        <f t="shared" si="14"/>
        <v>Classroom #6</v>
      </c>
      <c r="B33" s="143"/>
      <c r="C33" s="152">
        <f t="shared" si="12"/>
        <v>0</v>
      </c>
      <c r="D33" s="137">
        <f t="shared" si="13"/>
        <v>0</v>
      </c>
    </row>
    <row r="34" spans="1:4" x14ac:dyDescent="0.2">
      <c r="A34" s="85" t="str">
        <f t="shared" si="14"/>
        <v>Before/After School</v>
      </c>
      <c r="C34" s="152">
        <f t="shared" si="12"/>
        <v>1410</v>
      </c>
      <c r="D34" s="137">
        <f t="shared" si="13"/>
        <v>106</v>
      </c>
    </row>
    <row r="35" spans="1:4" x14ac:dyDescent="0.2">
      <c r="A35" s="85" t="str">
        <f t="shared" si="14"/>
        <v>Summer School Age</v>
      </c>
      <c r="C35" s="152">
        <f t="shared" si="12"/>
        <v>1866</v>
      </c>
      <c r="D35" s="137">
        <f t="shared" si="13"/>
        <v>106</v>
      </c>
    </row>
    <row r="37" spans="1:4" x14ac:dyDescent="0.2">
      <c r="A37" s="85" t="s">
        <v>162</v>
      </c>
    </row>
  </sheetData>
  <mergeCells count="1">
    <mergeCell ref="B2:B3"/>
  </mergeCells>
  <phoneticPr fontId="4" type="noConversion"/>
  <printOptions gridLines="1"/>
  <pageMargins left="0.25" right="0.25" top="1" bottom="1" header="0.5" footer="0.28000000000000003"/>
  <pageSetup paperSize="5" scale="70" orientation="landscape" copies="2" r:id="rId1"/>
  <headerFooter alignWithMargins="0">
    <oddHeader>&amp;C&amp;"Arial,Bold"&amp;11&amp;A</oddHeader>
    <oddFooter>&amp;L&amp;G&amp;Cwww.FirstChildrensFinance.org
1-866-562-6801</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5"/>
  </sheetPr>
  <dimension ref="A1:M28"/>
  <sheetViews>
    <sheetView zoomScaleNormal="100" workbookViewId="0">
      <selection activeCell="J9" sqref="J9"/>
    </sheetView>
  </sheetViews>
  <sheetFormatPr defaultRowHeight="12.75" x14ac:dyDescent="0.2"/>
  <cols>
    <col min="1" max="1" width="19.85546875" customWidth="1"/>
    <col min="2" max="13" width="12.7109375" customWidth="1"/>
  </cols>
  <sheetData>
    <row r="1" spans="1:13" x14ac:dyDescent="0.2">
      <c r="A1" s="37" t="s">
        <v>43</v>
      </c>
      <c r="B1" s="37" t="s">
        <v>44</v>
      </c>
      <c r="C1" s="37" t="s">
        <v>45</v>
      </c>
      <c r="D1" s="37" t="s">
        <v>46</v>
      </c>
      <c r="E1" s="37" t="s">
        <v>47</v>
      </c>
      <c r="F1" s="37" t="s">
        <v>48</v>
      </c>
      <c r="G1" s="37" t="s">
        <v>49</v>
      </c>
      <c r="H1" s="37" t="s">
        <v>50</v>
      </c>
      <c r="I1" s="37" t="s">
        <v>51</v>
      </c>
      <c r="J1" s="37" t="s">
        <v>52</v>
      </c>
      <c r="K1" s="37" t="s">
        <v>53</v>
      </c>
      <c r="L1" s="37" t="s">
        <v>54</v>
      </c>
      <c r="M1" s="37" t="s">
        <v>102</v>
      </c>
    </row>
    <row r="2" spans="1:13" ht="51" x14ac:dyDescent="0.2">
      <c r="A2" s="37"/>
      <c r="B2" s="37" t="s">
        <v>107</v>
      </c>
      <c r="C2" s="37"/>
      <c r="D2" s="37"/>
      <c r="E2" s="50" t="s">
        <v>141</v>
      </c>
      <c r="F2" s="37" t="s">
        <v>104</v>
      </c>
      <c r="G2" s="37" t="s">
        <v>105</v>
      </c>
      <c r="H2" s="37"/>
      <c r="I2" s="38" t="s">
        <v>106</v>
      </c>
      <c r="J2" s="50" t="s">
        <v>141</v>
      </c>
      <c r="K2" s="50" t="s">
        <v>108</v>
      </c>
      <c r="L2" s="37" t="s">
        <v>109</v>
      </c>
      <c r="M2" s="38" t="s">
        <v>110</v>
      </c>
    </row>
    <row r="3" spans="1:13" ht="63.75" x14ac:dyDescent="0.2">
      <c r="A3" s="39" t="s">
        <v>101</v>
      </c>
      <c r="B3" s="50" t="s">
        <v>95</v>
      </c>
      <c r="C3" s="50" t="s">
        <v>96</v>
      </c>
      <c r="D3" s="50" t="s">
        <v>97</v>
      </c>
      <c r="E3" s="50" t="s">
        <v>55</v>
      </c>
      <c r="F3" s="50" t="s">
        <v>56</v>
      </c>
      <c r="G3" s="50" t="s">
        <v>57</v>
      </c>
      <c r="H3" s="50" t="s">
        <v>164</v>
      </c>
      <c r="I3" s="50" t="s">
        <v>58</v>
      </c>
      <c r="J3" s="50" t="s">
        <v>59</v>
      </c>
      <c r="K3" s="50" t="s">
        <v>60</v>
      </c>
      <c r="L3" s="50" t="s">
        <v>61</v>
      </c>
      <c r="M3" s="50" t="s">
        <v>62</v>
      </c>
    </row>
    <row r="4" spans="1:13" ht="18" customHeight="1" x14ac:dyDescent="0.2">
      <c r="A4" s="85" t="str">
        <f>'Child Care Tuition Rates'!A5</f>
        <v>Infant Room</v>
      </c>
      <c r="B4" s="34">
        <f t="shared" ref="B4:B9" si="0">IF(E4=0,0,J4/E4)</f>
        <v>19.576923076923077</v>
      </c>
      <c r="C4" s="49">
        <f>'Child Care Tuition Rates'!W5</f>
        <v>7</v>
      </c>
      <c r="D4">
        <f t="shared" ref="D4:D11" si="1">E4/10</f>
        <v>5.2</v>
      </c>
      <c r="E4">
        <f>'Child Care Tuition Rates'!D28</f>
        <v>52</v>
      </c>
      <c r="F4" s="36">
        <f t="shared" ref="F4:F9" si="2">IF(I4=0,0,E4/I4)</f>
        <v>0.65</v>
      </c>
      <c r="G4" s="34">
        <f t="shared" ref="G4:G9" si="3">IF(E4=0,0,K4/E4)</f>
        <v>23.49141346153846</v>
      </c>
      <c r="H4" s="49">
        <f>'Child Care Tuition Rates'!B5</f>
        <v>8</v>
      </c>
      <c r="I4">
        <f t="shared" ref="I4:I11" si="4">H4*5*2</f>
        <v>80</v>
      </c>
      <c r="J4" s="40">
        <f>'Child Care Tuition Rates'!C28</f>
        <v>1018</v>
      </c>
      <c r="K4" s="34">
        <f>Breakeven!B19/4</f>
        <v>1221.5535</v>
      </c>
      <c r="L4" s="23">
        <f t="shared" ref="L4:L9" si="5">J4-K4</f>
        <v>-203.55349999999999</v>
      </c>
      <c r="M4" s="23">
        <f t="shared" ref="M4:M9" si="6">L4*52</f>
        <v>-10584.781999999999</v>
      </c>
    </row>
    <row r="5" spans="1:13" ht="18" customHeight="1" x14ac:dyDescent="0.2">
      <c r="A5" s="85" t="str">
        <f>'Child Care Tuition Rates'!A6</f>
        <v>Toddler Room</v>
      </c>
      <c r="B5" s="34">
        <f t="shared" si="0"/>
        <v>17.875</v>
      </c>
      <c r="C5" s="49">
        <f>'Child Care Tuition Rates'!W6</f>
        <v>12</v>
      </c>
      <c r="D5">
        <f t="shared" si="1"/>
        <v>9.6</v>
      </c>
      <c r="E5">
        <f>'Child Care Tuition Rates'!D29</f>
        <v>96</v>
      </c>
      <c r="F5" s="36">
        <f t="shared" si="2"/>
        <v>0.96</v>
      </c>
      <c r="G5" s="34">
        <f t="shared" si="3"/>
        <v>19.939518229166669</v>
      </c>
      <c r="H5" s="49">
        <f>'Child Care Tuition Rates'!B6</f>
        <v>10</v>
      </c>
      <c r="I5">
        <f t="shared" si="4"/>
        <v>100</v>
      </c>
      <c r="J5" s="40">
        <f>'Child Care Tuition Rates'!C29</f>
        <v>1716</v>
      </c>
      <c r="K5" s="34">
        <f>Breakeven!C19/4</f>
        <v>1914.1937500000001</v>
      </c>
      <c r="L5" s="23">
        <f t="shared" si="5"/>
        <v>-198.19375000000014</v>
      </c>
      <c r="M5" s="23">
        <f t="shared" si="6"/>
        <v>-10306.075000000008</v>
      </c>
    </row>
    <row r="6" spans="1:13" ht="18" customHeight="1" x14ac:dyDescent="0.2">
      <c r="A6" s="85" t="str">
        <f>'Child Care Tuition Rates'!A7</f>
        <v>Pre-school Room</v>
      </c>
      <c r="B6" s="34">
        <f t="shared" si="0"/>
        <v>17.25</v>
      </c>
      <c r="C6" s="49">
        <f>'Child Care Tuition Rates'!W7</f>
        <v>11</v>
      </c>
      <c r="D6">
        <f t="shared" si="1"/>
        <v>8.8000000000000007</v>
      </c>
      <c r="E6">
        <f>'Child Care Tuition Rates'!D30</f>
        <v>88</v>
      </c>
      <c r="F6" s="36">
        <f t="shared" si="2"/>
        <v>0.88</v>
      </c>
      <c r="G6" s="34">
        <f t="shared" si="3"/>
        <v>17.671326349431819</v>
      </c>
      <c r="H6" s="49">
        <f>'Child Care Tuition Rates'!B7</f>
        <v>10</v>
      </c>
      <c r="I6">
        <f t="shared" si="4"/>
        <v>100</v>
      </c>
      <c r="J6" s="40">
        <f>'Child Care Tuition Rates'!C30</f>
        <v>1518</v>
      </c>
      <c r="K6" s="34">
        <f>Breakeven!D19/4</f>
        <v>1555.0767187500001</v>
      </c>
      <c r="L6" s="23">
        <f t="shared" si="5"/>
        <v>-37.076718750000055</v>
      </c>
      <c r="M6" s="23">
        <f t="shared" si="6"/>
        <v>-1927.9893750000028</v>
      </c>
    </row>
    <row r="7" spans="1:13" ht="18" customHeight="1" x14ac:dyDescent="0.2">
      <c r="A7" s="85" t="str">
        <f>'Child Care Tuition Rates'!A8</f>
        <v>Classroom #4</v>
      </c>
      <c r="B7" s="34">
        <f t="shared" si="0"/>
        <v>0</v>
      </c>
      <c r="C7" s="49">
        <f>'Child Care Tuition Rates'!W8</f>
        <v>0</v>
      </c>
      <c r="D7">
        <f t="shared" si="1"/>
        <v>0</v>
      </c>
      <c r="E7">
        <f>'Child Care Tuition Rates'!D31</f>
        <v>0</v>
      </c>
      <c r="F7" s="36">
        <f t="shared" si="2"/>
        <v>0</v>
      </c>
      <c r="G7" s="34">
        <f t="shared" si="3"/>
        <v>0</v>
      </c>
      <c r="H7" s="49">
        <f>'Child Care Tuition Rates'!B8</f>
        <v>0</v>
      </c>
      <c r="I7">
        <f t="shared" si="4"/>
        <v>0</v>
      </c>
      <c r="J7" s="40">
        <f>'Child Care Tuition Rates'!C31</f>
        <v>0</v>
      </c>
      <c r="K7" s="34">
        <f>Breakeven!E19/4</f>
        <v>0</v>
      </c>
      <c r="L7" s="23">
        <f t="shared" si="5"/>
        <v>0</v>
      </c>
      <c r="M7" s="23">
        <f t="shared" si="6"/>
        <v>0</v>
      </c>
    </row>
    <row r="8" spans="1:13" ht="18" customHeight="1" x14ac:dyDescent="0.2">
      <c r="A8" s="85" t="str">
        <f>'Child Care Tuition Rates'!A9</f>
        <v>Classroom #5</v>
      </c>
      <c r="B8" s="34">
        <f t="shared" si="0"/>
        <v>0</v>
      </c>
      <c r="C8" s="49">
        <f>'Child Care Tuition Rates'!W9</f>
        <v>0</v>
      </c>
      <c r="D8">
        <f t="shared" si="1"/>
        <v>0</v>
      </c>
      <c r="E8">
        <f>'Child Care Tuition Rates'!D32</f>
        <v>0</v>
      </c>
      <c r="F8" s="36">
        <f t="shared" si="2"/>
        <v>0</v>
      </c>
      <c r="G8" s="34">
        <f t="shared" si="3"/>
        <v>0</v>
      </c>
      <c r="H8" s="49">
        <f>'Child Care Tuition Rates'!B9</f>
        <v>0</v>
      </c>
      <c r="I8">
        <f t="shared" si="4"/>
        <v>0</v>
      </c>
      <c r="J8" s="40">
        <f>'Child Care Tuition Rates'!C32</f>
        <v>0</v>
      </c>
      <c r="K8" s="34">
        <f>Breakeven!F19/4</f>
        <v>0</v>
      </c>
      <c r="L8" s="23">
        <f t="shared" si="5"/>
        <v>0</v>
      </c>
      <c r="M8" s="23">
        <f t="shared" si="6"/>
        <v>0</v>
      </c>
    </row>
    <row r="9" spans="1:13" ht="18" customHeight="1" x14ac:dyDescent="0.2">
      <c r="A9" s="85" t="str">
        <f>'Child Care Tuition Rates'!A10</f>
        <v>Classroom #6</v>
      </c>
      <c r="B9" s="34">
        <f t="shared" si="0"/>
        <v>0</v>
      </c>
      <c r="C9" s="49">
        <f>'Child Care Tuition Rates'!W10</f>
        <v>0</v>
      </c>
      <c r="D9">
        <f t="shared" si="1"/>
        <v>0</v>
      </c>
      <c r="E9">
        <f>'Child Care Tuition Rates'!D33</f>
        <v>0</v>
      </c>
      <c r="F9" s="36">
        <f t="shared" si="2"/>
        <v>0</v>
      </c>
      <c r="G9" s="34">
        <f t="shared" si="3"/>
        <v>0</v>
      </c>
      <c r="H9" s="49">
        <f>'Child Care Tuition Rates'!B10</f>
        <v>0</v>
      </c>
      <c r="I9">
        <f t="shared" si="4"/>
        <v>0</v>
      </c>
      <c r="J9" s="40">
        <f>'Child Care Tuition Rates'!C33</f>
        <v>0</v>
      </c>
      <c r="K9" s="34">
        <f>Breakeven!G19/4</f>
        <v>0</v>
      </c>
      <c r="L9" s="23">
        <f t="shared" si="5"/>
        <v>0</v>
      </c>
      <c r="M9" s="23">
        <f t="shared" si="6"/>
        <v>0</v>
      </c>
    </row>
    <row r="10" spans="1:13" ht="18" customHeight="1" x14ac:dyDescent="0.2">
      <c r="A10" s="85" t="str">
        <f>'Child Care Tuition Rates'!A11</f>
        <v>Before/After School</v>
      </c>
      <c r="B10" s="34">
        <f>IF(E10=0,0,J10/E10)</f>
        <v>13.30188679245283</v>
      </c>
      <c r="C10" s="49">
        <f>'Child Care Tuition Rates'!W11</f>
        <v>14</v>
      </c>
      <c r="D10">
        <f t="shared" si="1"/>
        <v>10.6</v>
      </c>
      <c r="E10">
        <f>'Child Care Tuition Rates'!D34</f>
        <v>106</v>
      </c>
      <c r="F10" s="36">
        <f>IF(I10=0,0,E10/I10)</f>
        <v>0.8833333333333333</v>
      </c>
      <c r="G10" s="34">
        <f>IF(E10=0,0,K10/E10)</f>
        <v>11.572339033018867</v>
      </c>
      <c r="H10" s="49">
        <f>'Child Care Tuition Rates'!B11</f>
        <v>12</v>
      </c>
      <c r="I10">
        <f t="shared" si="4"/>
        <v>120</v>
      </c>
      <c r="J10" s="40">
        <f>'Child Care Tuition Rates'!C34</f>
        <v>1410</v>
      </c>
      <c r="K10" s="34">
        <f>Breakeven!H19/4</f>
        <v>1226.6679374999999</v>
      </c>
      <c r="L10" s="23">
        <f>J10-K10</f>
        <v>183.33206250000012</v>
      </c>
      <c r="M10" s="34">
        <f>L10*36</f>
        <v>6599.9542500000043</v>
      </c>
    </row>
    <row r="11" spans="1:13" ht="18" customHeight="1" x14ac:dyDescent="0.2">
      <c r="A11" s="85" t="str">
        <f>'Child Care Tuition Rates'!A12</f>
        <v>Summer School Age</v>
      </c>
      <c r="B11" s="34">
        <f>IF(E11=0,0,J11/E11)</f>
        <v>17.60377358490566</v>
      </c>
      <c r="C11" s="49">
        <f>'Child Care Tuition Rates'!W12</f>
        <v>14</v>
      </c>
      <c r="D11">
        <f t="shared" si="1"/>
        <v>10.6</v>
      </c>
      <c r="E11">
        <f>'Child Care Tuition Rates'!D35</f>
        <v>106</v>
      </c>
      <c r="F11" s="36">
        <f>IF(I11=0,0,E11/I11)</f>
        <v>0.8833333333333333</v>
      </c>
      <c r="G11" s="34">
        <f>IF(E11=0,0,K11/E11)</f>
        <v>9.0113826650943398</v>
      </c>
      <c r="H11" s="49">
        <f>'Child Care Tuition Rates'!B12</f>
        <v>12</v>
      </c>
      <c r="I11">
        <f t="shared" si="4"/>
        <v>120</v>
      </c>
      <c r="J11" s="40">
        <f>'Child Care Tuition Rates'!C35</f>
        <v>1866</v>
      </c>
      <c r="K11" s="34">
        <f>Breakeven!H43/4</f>
        <v>955.20656250000002</v>
      </c>
      <c r="L11" s="23">
        <f>J11-K11</f>
        <v>910.79343749999998</v>
      </c>
      <c r="M11" s="34">
        <f>L11*12</f>
        <v>10929.52125</v>
      </c>
    </row>
    <row r="12" spans="1:13" ht="18" customHeight="1" x14ac:dyDescent="0.2">
      <c r="A12" s="49"/>
      <c r="B12" s="34"/>
      <c r="C12" s="49"/>
      <c r="F12" s="36"/>
      <c r="G12" s="34"/>
      <c r="H12" s="49"/>
      <c r="J12" s="40"/>
      <c r="K12" s="34"/>
      <c r="L12" s="23"/>
      <c r="M12" s="23"/>
    </row>
    <row r="13" spans="1:13" ht="18.75" customHeight="1" x14ac:dyDescent="0.2">
      <c r="A13" s="49"/>
    </row>
    <row r="14" spans="1:13" ht="36.75" customHeight="1" x14ac:dyDescent="0.2">
      <c r="A14" s="122" t="s">
        <v>10</v>
      </c>
      <c r="B14" s="39" t="s">
        <v>98</v>
      </c>
      <c r="C14" s="39" t="s">
        <v>99</v>
      </c>
      <c r="D14" s="22"/>
      <c r="M14" s="23" t="s">
        <v>10</v>
      </c>
    </row>
    <row r="15" spans="1:13" ht="18" customHeight="1" x14ac:dyDescent="0.2">
      <c r="A15" s="85" t="str">
        <f>A4</f>
        <v>Infant Room</v>
      </c>
      <c r="B15" s="23">
        <f t="shared" ref="B15:B22" si="7">B4*10</f>
        <v>195.76923076923077</v>
      </c>
      <c r="C15" s="23">
        <f t="shared" ref="C15:C22" si="8">B15*4</f>
        <v>783.07692307692309</v>
      </c>
      <c r="D15" s="23"/>
    </row>
    <row r="16" spans="1:13" ht="18" customHeight="1" x14ac:dyDescent="0.2">
      <c r="A16" s="85" t="str">
        <f t="shared" ref="A16:A22" si="9">A5</f>
        <v>Toddler Room</v>
      </c>
      <c r="B16" s="23">
        <f t="shared" si="7"/>
        <v>178.75</v>
      </c>
      <c r="C16" s="23">
        <f t="shared" si="8"/>
        <v>715</v>
      </c>
      <c r="D16" s="23"/>
    </row>
    <row r="17" spans="1:4" ht="18" customHeight="1" x14ac:dyDescent="0.2">
      <c r="A17" s="85" t="str">
        <f t="shared" si="9"/>
        <v>Pre-school Room</v>
      </c>
      <c r="B17" s="23">
        <f t="shared" si="7"/>
        <v>172.5</v>
      </c>
      <c r="C17" s="23">
        <f t="shared" si="8"/>
        <v>690</v>
      </c>
      <c r="D17" s="23"/>
    </row>
    <row r="18" spans="1:4" ht="18" customHeight="1" x14ac:dyDescent="0.2">
      <c r="A18" s="85" t="str">
        <f t="shared" si="9"/>
        <v>Classroom #4</v>
      </c>
      <c r="B18" s="23">
        <f t="shared" si="7"/>
        <v>0</v>
      </c>
      <c r="C18" s="23">
        <f t="shared" si="8"/>
        <v>0</v>
      </c>
      <c r="D18" s="23"/>
    </row>
    <row r="19" spans="1:4" ht="18" customHeight="1" x14ac:dyDescent="0.2">
      <c r="A19" s="85" t="str">
        <f t="shared" si="9"/>
        <v>Classroom #5</v>
      </c>
      <c r="B19" s="23">
        <f t="shared" si="7"/>
        <v>0</v>
      </c>
      <c r="C19" s="23">
        <f t="shared" si="8"/>
        <v>0</v>
      </c>
      <c r="D19" s="23"/>
    </row>
    <row r="20" spans="1:4" ht="18" customHeight="1" x14ac:dyDescent="0.2">
      <c r="A20" s="85" t="str">
        <f t="shared" si="9"/>
        <v>Classroom #6</v>
      </c>
      <c r="B20" s="23">
        <f t="shared" si="7"/>
        <v>0</v>
      </c>
      <c r="C20" s="23">
        <f t="shared" si="8"/>
        <v>0</v>
      </c>
      <c r="D20" s="23"/>
    </row>
    <row r="21" spans="1:4" ht="18" customHeight="1" x14ac:dyDescent="0.2">
      <c r="A21" s="85" t="str">
        <f t="shared" si="9"/>
        <v>Before/After School</v>
      </c>
      <c r="B21" s="23">
        <f t="shared" si="7"/>
        <v>133.01886792452831</v>
      </c>
      <c r="C21" s="23">
        <f t="shared" si="8"/>
        <v>532.07547169811323</v>
      </c>
    </row>
    <row r="22" spans="1:4" ht="18" customHeight="1" x14ac:dyDescent="0.2">
      <c r="A22" s="85" t="str">
        <f t="shared" si="9"/>
        <v>Summer School Age</v>
      </c>
      <c r="B22" s="23">
        <f t="shared" si="7"/>
        <v>176.03773584905662</v>
      </c>
      <c r="C22" s="23">
        <f t="shared" si="8"/>
        <v>704.15094339622647</v>
      </c>
    </row>
    <row r="23" spans="1:4" ht="18" customHeight="1" x14ac:dyDescent="0.2"/>
    <row r="24" spans="1:4" ht="18" hidden="1" customHeight="1" x14ac:dyDescent="0.2">
      <c r="A24" s="49" t="s">
        <v>139</v>
      </c>
    </row>
    <row r="25" spans="1:4" ht="18" hidden="1" customHeight="1" x14ac:dyDescent="0.2">
      <c r="A25" s="49" t="s">
        <v>140</v>
      </c>
    </row>
    <row r="26" spans="1:4" ht="18" customHeight="1" x14ac:dyDescent="0.2"/>
    <row r="27" spans="1:4" ht="18" customHeight="1" x14ac:dyDescent="0.2"/>
    <row r="28" spans="1:4" ht="18" customHeight="1" x14ac:dyDescent="0.2"/>
  </sheetData>
  <phoneticPr fontId="4" type="noConversion"/>
  <printOptions gridLines="1"/>
  <pageMargins left="0.32" right="0.22" top="0.63" bottom="1" header="0.21" footer="0.35"/>
  <pageSetup scale="81" orientation="landscape" r:id="rId1"/>
  <headerFooter alignWithMargins="0">
    <oddHeader>&amp;C&amp;"Arial,Bold"&amp;11&amp;A</oddHeader>
    <oddFooter>&amp;L&amp;G&amp;Cwww.FirstChildrensFinance.org
1-866-562-6801</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O53"/>
  <sheetViews>
    <sheetView tabSelected="1" view="pageLayout" zoomScaleNormal="100" zoomScaleSheetLayoutView="100" workbookViewId="0">
      <selection activeCell="B41" sqref="B41"/>
    </sheetView>
  </sheetViews>
  <sheetFormatPr defaultRowHeight="12.75" x14ac:dyDescent="0.2"/>
  <cols>
    <col min="1" max="1" width="31.5703125" bestFit="1" customWidth="1"/>
    <col min="2" max="2" width="11.7109375" customWidth="1"/>
    <col min="3" max="3" width="12.140625" bestFit="1" customWidth="1"/>
    <col min="4" max="4" width="10.85546875" bestFit="1" customWidth="1"/>
    <col min="5" max="6" width="10.5703125" customWidth="1"/>
    <col min="7" max="8" width="11.7109375" customWidth="1"/>
    <col min="9" max="9" width="11.140625" bestFit="1" customWidth="1"/>
    <col min="11" max="11" width="30.85546875" bestFit="1" customWidth="1"/>
    <col min="12" max="12" width="11.85546875" bestFit="1" customWidth="1"/>
    <col min="13" max="13" width="9.7109375" customWidth="1"/>
    <col min="14" max="14" width="11.28515625" bestFit="1" customWidth="1"/>
  </cols>
  <sheetData>
    <row r="1" spans="1:15" x14ac:dyDescent="0.2">
      <c r="A1" s="2" t="s">
        <v>114</v>
      </c>
      <c r="B1" s="21"/>
      <c r="C1" s="3"/>
      <c r="D1" s="3"/>
      <c r="E1" s="3"/>
      <c r="F1" s="3"/>
      <c r="G1" s="3"/>
      <c r="H1" s="3"/>
      <c r="I1" s="4"/>
      <c r="L1" t="s">
        <v>10</v>
      </c>
    </row>
    <row r="2" spans="1:15" ht="13.5" thickBot="1" x14ac:dyDescent="0.25">
      <c r="A2" s="5"/>
      <c r="B2" s="6"/>
      <c r="C2" s="6"/>
      <c r="D2" s="6"/>
      <c r="E2" s="6"/>
      <c r="F2" s="6"/>
      <c r="G2" s="6"/>
      <c r="H2" s="6"/>
      <c r="I2" s="7"/>
    </row>
    <row r="3" spans="1:15" ht="38.25" x14ac:dyDescent="0.2">
      <c r="A3" s="52" t="s">
        <v>142</v>
      </c>
      <c r="B3" s="124" t="str">
        <f>'Child Care Tuition Rates'!A5</f>
        <v>Infant Room</v>
      </c>
      <c r="C3" s="124" t="str">
        <f>'Child Care Tuition Rates'!A6</f>
        <v>Toddler Room</v>
      </c>
      <c r="D3" s="124" t="str">
        <f>'Child Care Tuition Rates'!A7</f>
        <v>Pre-school Room</v>
      </c>
      <c r="E3" s="124" t="str">
        <f>'Child Care Tuition Rates'!A8</f>
        <v>Classroom #4</v>
      </c>
      <c r="F3" s="124" t="str">
        <f>'Child Care Tuition Rates'!A9</f>
        <v>Classroom #5</v>
      </c>
      <c r="G3" s="124" t="str">
        <f>'Child Care Tuition Rates'!A10</f>
        <v>Classroom #6</v>
      </c>
      <c r="H3" s="124" t="str">
        <f>'Child Care Tuition Rates'!A11</f>
        <v>Before/After School</v>
      </c>
      <c r="I3" s="9" t="s">
        <v>0</v>
      </c>
      <c r="K3" s="25" t="s">
        <v>17</v>
      </c>
      <c r="L3" s="57" t="s">
        <v>117</v>
      </c>
      <c r="M3" s="57" t="s">
        <v>118</v>
      </c>
      <c r="N3" s="26" t="s">
        <v>0</v>
      </c>
    </row>
    <row r="4" spans="1:15" x14ac:dyDescent="0.2">
      <c r="A4" s="30" t="s">
        <v>1</v>
      </c>
      <c r="B4" s="70">
        <f>'Child Care Tuition Rates'!B5</f>
        <v>8</v>
      </c>
      <c r="C4" s="70">
        <f>'Child Care Tuition Rates'!B6</f>
        <v>10</v>
      </c>
      <c r="D4" s="70">
        <f>'Child Care Tuition Rates'!B7</f>
        <v>10</v>
      </c>
      <c r="E4" s="70">
        <f>'Child Care Tuition Rates'!B8</f>
        <v>0</v>
      </c>
      <c r="F4" s="70">
        <f>'Child Care Tuition Rates'!B9</f>
        <v>0</v>
      </c>
      <c r="G4" s="70">
        <f>'Child Care Tuition Rates'!B10</f>
        <v>0</v>
      </c>
      <c r="H4" s="70">
        <f>'Child Care Tuition Rates'!B11</f>
        <v>12</v>
      </c>
      <c r="I4" s="31">
        <f>SUM(B4:H4)</f>
        <v>40</v>
      </c>
      <c r="K4" s="5"/>
      <c r="L4" s="6"/>
      <c r="M4" s="6"/>
      <c r="N4" s="7" t="s">
        <v>10</v>
      </c>
    </row>
    <row r="5" spans="1:15" x14ac:dyDescent="0.2">
      <c r="A5" s="11" t="s">
        <v>2</v>
      </c>
      <c r="B5" s="12">
        <f t="shared" ref="B5:I5" si="0">B4/$I$4</f>
        <v>0.2</v>
      </c>
      <c r="C5" s="12">
        <f t="shared" si="0"/>
        <v>0.25</v>
      </c>
      <c r="D5" s="12">
        <f t="shared" si="0"/>
        <v>0.25</v>
      </c>
      <c r="E5" s="12">
        <f t="shared" si="0"/>
        <v>0</v>
      </c>
      <c r="F5" s="12">
        <f t="shared" si="0"/>
        <v>0</v>
      </c>
      <c r="G5" s="12">
        <f t="shared" si="0"/>
        <v>0</v>
      </c>
      <c r="H5" s="12">
        <f t="shared" si="0"/>
        <v>0.3</v>
      </c>
      <c r="I5" s="13">
        <f t="shared" si="0"/>
        <v>1</v>
      </c>
      <c r="K5" s="5"/>
      <c r="L5" s="6"/>
      <c r="M5" s="6"/>
      <c r="N5" s="7" t="s">
        <v>10</v>
      </c>
      <c r="O5" t="s">
        <v>10</v>
      </c>
    </row>
    <row r="6" spans="1:15" x14ac:dyDescent="0.2">
      <c r="A6" s="8" t="s">
        <v>74</v>
      </c>
      <c r="B6" s="47">
        <f>'Cost Analysis per Unit'!D4</f>
        <v>5.2</v>
      </c>
      <c r="C6" s="47">
        <f>'Cost Analysis per Unit'!D5</f>
        <v>9.6</v>
      </c>
      <c r="D6" s="47">
        <f>'Cost Analysis per Unit'!D6</f>
        <v>8.8000000000000007</v>
      </c>
      <c r="E6" s="47">
        <f>'Cost Analysis per Unit'!D7</f>
        <v>0</v>
      </c>
      <c r="F6" s="47">
        <f>'Cost Analysis per Unit'!D8</f>
        <v>0</v>
      </c>
      <c r="G6" s="47">
        <f>'Cost Analysis per Unit'!D9</f>
        <v>0</v>
      </c>
      <c r="H6" s="47">
        <f>'Cost Analysis per Unit'!D10</f>
        <v>10.6</v>
      </c>
      <c r="I6" s="14">
        <f>SUM(B6:H6)</f>
        <v>34.200000000000003</v>
      </c>
      <c r="K6" s="5"/>
      <c r="L6" s="6"/>
      <c r="M6" s="6"/>
      <c r="N6" s="7" t="s">
        <v>10</v>
      </c>
      <c r="O6" t="s">
        <v>10</v>
      </c>
    </row>
    <row r="7" spans="1:15" x14ac:dyDescent="0.2">
      <c r="A7" s="5" t="s">
        <v>3</v>
      </c>
      <c r="B7" s="48">
        <f>'Cost Analysis per Unit'!C15</f>
        <v>783.07692307692309</v>
      </c>
      <c r="C7" s="48">
        <f>'Cost Analysis per Unit'!C16</f>
        <v>715</v>
      </c>
      <c r="D7" s="48">
        <f>'Cost Analysis per Unit'!C17</f>
        <v>690</v>
      </c>
      <c r="E7" s="48">
        <f>'Cost Analysis per Unit'!C18</f>
        <v>0</v>
      </c>
      <c r="F7" s="48">
        <f>'Cost Analysis per Unit'!C19</f>
        <v>0</v>
      </c>
      <c r="G7" s="48">
        <f>'Cost Analysis per Unit'!C20</f>
        <v>0</v>
      </c>
      <c r="H7" s="48">
        <f>'Cost Analysis per Unit'!C21</f>
        <v>532.07547169811323</v>
      </c>
      <c r="I7" s="10"/>
      <c r="K7" s="5"/>
      <c r="L7" s="6"/>
      <c r="M7" s="6"/>
      <c r="N7" s="7" t="s">
        <v>10</v>
      </c>
      <c r="O7" t="s">
        <v>10</v>
      </c>
    </row>
    <row r="8" spans="1:15" x14ac:dyDescent="0.2">
      <c r="A8" s="5" t="s">
        <v>4</v>
      </c>
      <c r="B8" s="15">
        <f>'Child Care Tuition Rates'!C28*4</f>
        <v>4072</v>
      </c>
      <c r="C8" s="15">
        <f>'Child Care Tuition Rates'!C29*4</f>
        <v>6864</v>
      </c>
      <c r="D8" s="15">
        <f>'Child Care Tuition Rates'!C30*4</f>
        <v>6072</v>
      </c>
      <c r="E8" s="15">
        <f>'Child Care Tuition Rates'!C31*4</f>
        <v>0</v>
      </c>
      <c r="F8" s="15">
        <f>'Child Care Tuition Rates'!C32*4</f>
        <v>0</v>
      </c>
      <c r="G8" s="15">
        <f>'Child Care Tuition Rates'!C33*4</f>
        <v>0</v>
      </c>
      <c r="H8" s="15">
        <f>'Child Care Tuition Rates'!C34*4</f>
        <v>5640</v>
      </c>
      <c r="I8" s="16">
        <f>SUM(B8:H8)</f>
        <v>22648</v>
      </c>
      <c r="K8" s="5" t="s">
        <v>146</v>
      </c>
      <c r="L8" s="15">
        <f>I8*9</f>
        <v>203832</v>
      </c>
      <c r="M8" s="65">
        <f>I32*3</f>
        <v>73416</v>
      </c>
      <c r="N8" s="16">
        <f>L8+M8</f>
        <v>277248</v>
      </c>
    </row>
    <row r="9" spans="1:15" x14ac:dyDescent="0.2">
      <c r="A9" s="5"/>
      <c r="B9" s="6"/>
      <c r="C9" s="6"/>
      <c r="D9" s="6"/>
      <c r="E9" s="6"/>
      <c r="F9" s="6"/>
      <c r="G9" s="6"/>
      <c r="H9" s="6"/>
      <c r="I9" s="7"/>
      <c r="K9" s="5"/>
      <c r="L9" s="6"/>
      <c r="M9" s="6"/>
      <c r="N9" s="7"/>
    </row>
    <row r="10" spans="1:15" x14ac:dyDescent="0.2">
      <c r="A10" s="5" t="s">
        <v>5</v>
      </c>
      <c r="B10" s="46">
        <f>'Room Staffing'!G10</f>
        <v>2700.9450000000002</v>
      </c>
      <c r="C10" s="46">
        <f>'Room Staffing'!G20</f>
        <v>4925.1887500000003</v>
      </c>
      <c r="D10" s="46">
        <f>'Room Staffing'!G30</f>
        <v>3488.7206249999999</v>
      </c>
      <c r="E10" s="46">
        <f>'Room Staffing'!G40</f>
        <v>0</v>
      </c>
      <c r="F10" s="46">
        <f>'Room Staffing'!G50</f>
        <v>0</v>
      </c>
      <c r="G10" s="46">
        <f>'Room Staffing'!G60</f>
        <v>0</v>
      </c>
      <c r="H10" s="46">
        <f>'Room Staffing'!G70</f>
        <v>1628.7682500000001</v>
      </c>
      <c r="I10" s="45">
        <f>SUM(B10:H10)</f>
        <v>12743.622625</v>
      </c>
      <c r="J10" s="1" t="s">
        <v>10</v>
      </c>
      <c r="K10" s="5" t="str">
        <f t="shared" ref="K10:K19" si="1">A10</f>
        <v>Child Care Wages and Benefits</v>
      </c>
      <c r="L10" s="17">
        <f>I10*9</f>
        <v>114692.603625</v>
      </c>
      <c r="M10" s="17">
        <f>I34*3</f>
        <v>34973.331375000002</v>
      </c>
      <c r="N10" s="41">
        <f t="shared" ref="N10:N18" si="2">L10+M10</f>
        <v>149665.935</v>
      </c>
    </row>
    <row r="11" spans="1:15" x14ac:dyDescent="0.2">
      <c r="A11" s="30" t="str">
        <f>'All Other Expenses'!A2</f>
        <v>Director</v>
      </c>
      <c r="B11" s="17">
        <f t="shared" ref="B11:B16" si="3">$B$5*I11</f>
        <v>835.77500000000009</v>
      </c>
      <c r="C11" s="17">
        <f t="shared" ref="C11:C16" si="4">$C$5*I11</f>
        <v>1044.71875</v>
      </c>
      <c r="D11" s="17">
        <f t="shared" ref="D11:D16" si="5">$D$5*I11</f>
        <v>1044.71875</v>
      </c>
      <c r="E11" s="17">
        <f>$E$5*I11</f>
        <v>0</v>
      </c>
      <c r="F11" s="17">
        <f>$F$5*I11</f>
        <v>0</v>
      </c>
      <c r="G11" s="17">
        <f t="shared" ref="G11:G16" si="6">$G$5*I11</f>
        <v>0</v>
      </c>
      <c r="H11" s="17">
        <f>$H$5*I11</f>
        <v>1253.6624999999999</v>
      </c>
      <c r="I11" s="45">
        <f>'All Other Expenses'!I2</f>
        <v>4178.875</v>
      </c>
      <c r="J11" s="1" t="s">
        <v>10</v>
      </c>
      <c r="K11" s="5" t="str">
        <f t="shared" si="1"/>
        <v>Director</v>
      </c>
      <c r="L11" s="17">
        <f t="shared" ref="L11:L18" si="7">I11*9</f>
        <v>37609.875</v>
      </c>
      <c r="M11" s="17">
        <f t="shared" ref="M11:M18" si="8">I35*3</f>
        <v>12536.625</v>
      </c>
      <c r="N11" s="41">
        <f t="shared" si="2"/>
        <v>50146.5</v>
      </c>
    </row>
    <row r="12" spans="1:15" x14ac:dyDescent="0.2">
      <c r="A12" s="30" t="str">
        <f>'All Other Expenses'!A3</f>
        <v>Other Staff 1</v>
      </c>
      <c r="B12" s="17">
        <f t="shared" si="3"/>
        <v>208.49400000000003</v>
      </c>
      <c r="C12" s="17">
        <f t="shared" si="4"/>
        <v>260.61750000000001</v>
      </c>
      <c r="D12" s="17">
        <f t="shared" si="5"/>
        <v>260.61750000000001</v>
      </c>
      <c r="E12" s="17">
        <f t="shared" ref="E12:E18" si="9">$E$5*I12</f>
        <v>0</v>
      </c>
      <c r="F12" s="17">
        <f t="shared" ref="F12:F18" si="10">$F$5*I12</f>
        <v>0</v>
      </c>
      <c r="G12" s="17">
        <f t="shared" si="6"/>
        <v>0</v>
      </c>
      <c r="H12" s="17">
        <f t="shared" ref="H12:H18" si="11">$H$5*I12</f>
        <v>312.74099999999999</v>
      </c>
      <c r="I12" s="45">
        <f>'All Other Expenses'!I3</f>
        <v>1042.47</v>
      </c>
      <c r="J12" s="1"/>
      <c r="K12" s="5" t="str">
        <f t="shared" si="1"/>
        <v>Other Staff 1</v>
      </c>
      <c r="L12" s="17">
        <f t="shared" si="7"/>
        <v>9382.23</v>
      </c>
      <c r="M12" s="17">
        <f t="shared" si="8"/>
        <v>3127.41</v>
      </c>
      <c r="N12" s="41">
        <f t="shared" si="2"/>
        <v>12509.64</v>
      </c>
    </row>
    <row r="13" spans="1:15" x14ac:dyDescent="0.2">
      <c r="A13" s="30" t="str">
        <f>'All Other Expenses'!A4</f>
        <v>Other Staff 2</v>
      </c>
      <c r="B13" s="17">
        <f t="shared" si="3"/>
        <v>0</v>
      </c>
      <c r="C13" s="17">
        <f t="shared" si="4"/>
        <v>0</v>
      </c>
      <c r="D13" s="17">
        <f t="shared" si="5"/>
        <v>0</v>
      </c>
      <c r="E13" s="17">
        <f>$E$5*I13</f>
        <v>0</v>
      </c>
      <c r="F13" s="17">
        <f>$F$5*I13</f>
        <v>0</v>
      </c>
      <c r="G13" s="17">
        <f t="shared" si="6"/>
        <v>0</v>
      </c>
      <c r="H13" s="17">
        <f t="shared" si="11"/>
        <v>0</v>
      </c>
      <c r="I13" s="45">
        <f>'All Other Expenses'!I4</f>
        <v>0</v>
      </c>
      <c r="J13" s="1"/>
      <c r="K13" s="5" t="str">
        <f t="shared" si="1"/>
        <v>Other Staff 2</v>
      </c>
      <c r="L13" s="17">
        <f t="shared" si="7"/>
        <v>0</v>
      </c>
      <c r="M13" s="17">
        <f t="shared" si="8"/>
        <v>0</v>
      </c>
      <c r="N13" s="41">
        <f t="shared" si="2"/>
        <v>0</v>
      </c>
    </row>
    <row r="14" spans="1:15" x14ac:dyDescent="0.2">
      <c r="A14" s="30" t="str">
        <f>'All Other Expenses'!A5</f>
        <v>Other Staff 3</v>
      </c>
      <c r="B14" s="17">
        <f t="shared" si="3"/>
        <v>0</v>
      </c>
      <c r="C14" s="17">
        <f t="shared" si="4"/>
        <v>0</v>
      </c>
      <c r="D14" s="17">
        <f t="shared" si="5"/>
        <v>0</v>
      </c>
      <c r="E14" s="17">
        <f t="shared" si="9"/>
        <v>0</v>
      </c>
      <c r="F14" s="17">
        <f t="shared" si="10"/>
        <v>0</v>
      </c>
      <c r="G14" s="17">
        <f t="shared" si="6"/>
        <v>0</v>
      </c>
      <c r="H14" s="17">
        <f t="shared" si="11"/>
        <v>0</v>
      </c>
      <c r="I14" s="45">
        <f>'All Other Expenses'!I5</f>
        <v>0</v>
      </c>
      <c r="J14" s="1"/>
      <c r="K14" s="5" t="str">
        <f t="shared" si="1"/>
        <v>Other Staff 3</v>
      </c>
      <c r="L14" s="17">
        <f t="shared" si="7"/>
        <v>0</v>
      </c>
      <c r="M14" s="17">
        <f t="shared" si="8"/>
        <v>0</v>
      </c>
      <c r="N14" s="41">
        <f t="shared" si="2"/>
        <v>0</v>
      </c>
    </row>
    <row r="15" spans="1:15" x14ac:dyDescent="0.2">
      <c r="A15" s="30" t="str">
        <f>'All Other Expenses'!A6</f>
        <v>Other Staff 4</v>
      </c>
      <c r="B15" s="17">
        <f t="shared" si="3"/>
        <v>0</v>
      </c>
      <c r="C15" s="17">
        <f t="shared" si="4"/>
        <v>0</v>
      </c>
      <c r="D15" s="17">
        <f t="shared" si="5"/>
        <v>0</v>
      </c>
      <c r="E15" s="17">
        <f>$E$5*I15</f>
        <v>0</v>
      </c>
      <c r="F15" s="17">
        <f>$F$5*I15</f>
        <v>0</v>
      </c>
      <c r="G15" s="17">
        <f t="shared" si="6"/>
        <v>0</v>
      </c>
      <c r="H15" s="17">
        <f t="shared" si="11"/>
        <v>0</v>
      </c>
      <c r="I15" s="45">
        <f>'All Other Expenses'!I6+'All Other Expenses'!I7</f>
        <v>0</v>
      </c>
      <c r="J15" s="1"/>
      <c r="K15" s="5" t="str">
        <f t="shared" si="1"/>
        <v>Other Staff 4</v>
      </c>
      <c r="L15" s="17">
        <f t="shared" si="7"/>
        <v>0</v>
      </c>
      <c r="M15" s="17">
        <f t="shared" si="8"/>
        <v>0</v>
      </c>
      <c r="N15" s="41">
        <f t="shared" si="2"/>
        <v>0</v>
      </c>
    </row>
    <row r="16" spans="1:15" x14ac:dyDescent="0.2">
      <c r="A16" s="5" t="s">
        <v>143</v>
      </c>
      <c r="B16" s="17">
        <f t="shared" si="3"/>
        <v>420</v>
      </c>
      <c r="C16" s="17">
        <f t="shared" si="4"/>
        <v>525</v>
      </c>
      <c r="D16" s="17">
        <f t="shared" si="5"/>
        <v>525</v>
      </c>
      <c r="E16" s="17">
        <f t="shared" si="9"/>
        <v>0</v>
      </c>
      <c r="F16" s="17">
        <f t="shared" si="10"/>
        <v>0</v>
      </c>
      <c r="G16" s="17">
        <f t="shared" si="6"/>
        <v>0</v>
      </c>
      <c r="H16" s="17">
        <f t="shared" si="11"/>
        <v>630</v>
      </c>
      <c r="I16" s="45">
        <f>'All Other Expenses'!B22+'All Other Expenses'!B27</f>
        <v>2100</v>
      </c>
      <c r="J16" s="1" t="s">
        <v>10</v>
      </c>
      <c r="K16" s="5" t="str">
        <f t="shared" si="1"/>
        <v>Occupancy (Rent and Utilities)</v>
      </c>
      <c r="L16" s="17">
        <f t="shared" si="7"/>
        <v>18900</v>
      </c>
      <c r="M16" s="17">
        <f t="shared" si="8"/>
        <v>6300</v>
      </c>
      <c r="N16" s="41">
        <f t="shared" si="2"/>
        <v>25200</v>
      </c>
    </row>
    <row r="17" spans="1:14" x14ac:dyDescent="0.2">
      <c r="A17" s="53" t="s">
        <v>86</v>
      </c>
      <c r="B17" s="32">
        <v>0</v>
      </c>
      <c r="C17" s="32">
        <v>0</v>
      </c>
      <c r="D17" s="32">
        <v>0</v>
      </c>
      <c r="E17" s="32">
        <v>0</v>
      </c>
      <c r="F17" s="32">
        <v>0</v>
      </c>
      <c r="G17" s="32">
        <v>0</v>
      </c>
      <c r="H17" s="32">
        <v>0</v>
      </c>
      <c r="I17" s="45">
        <f>SUM(B17:H17)</f>
        <v>0</v>
      </c>
      <c r="J17" s="1"/>
      <c r="K17" s="5" t="str">
        <f t="shared" si="1"/>
        <v>Teacher Tuition Discounts</v>
      </c>
      <c r="L17" s="17">
        <f t="shared" si="7"/>
        <v>0</v>
      </c>
      <c r="M17" s="17">
        <f t="shared" si="8"/>
        <v>0</v>
      </c>
      <c r="N17" s="41">
        <f t="shared" si="2"/>
        <v>0</v>
      </c>
    </row>
    <row r="18" spans="1:14" x14ac:dyDescent="0.2">
      <c r="A18" s="5" t="s">
        <v>85</v>
      </c>
      <c r="B18" s="17">
        <f>$B$5*I18</f>
        <v>721</v>
      </c>
      <c r="C18" s="17">
        <f>$C$5*I18</f>
        <v>901.25</v>
      </c>
      <c r="D18" s="17">
        <f>$D$5*I18</f>
        <v>901.25</v>
      </c>
      <c r="E18" s="17">
        <f t="shared" si="9"/>
        <v>0</v>
      </c>
      <c r="F18" s="17">
        <f t="shared" si="10"/>
        <v>0</v>
      </c>
      <c r="G18" s="17">
        <f>$G$5*I18</f>
        <v>0</v>
      </c>
      <c r="H18" s="17">
        <f t="shared" si="11"/>
        <v>1081.5</v>
      </c>
      <c r="I18" s="45">
        <f>'All Other Expenses'!B37-I16</f>
        <v>3605</v>
      </c>
      <c r="J18" s="1" t="s">
        <v>10</v>
      </c>
      <c r="K18" s="5" t="str">
        <f t="shared" si="1"/>
        <v>All Other Expenses</v>
      </c>
      <c r="L18" s="17">
        <f t="shared" si="7"/>
        <v>32445</v>
      </c>
      <c r="M18" s="17">
        <f t="shared" si="8"/>
        <v>10815</v>
      </c>
      <c r="N18" s="41">
        <f t="shared" si="2"/>
        <v>43260</v>
      </c>
    </row>
    <row r="19" spans="1:14" x14ac:dyDescent="0.2">
      <c r="A19" s="5" t="s">
        <v>6</v>
      </c>
      <c r="B19" s="65">
        <f>SUM(B10:B18)</f>
        <v>4886.2139999999999</v>
      </c>
      <c r="C19" s="65">
        <f t="shared" ref="C19:I19" si="12">SUM(C10:C18)</f>
        <v>7656.7750000000005</v>
      </c>
      <c r="D19" s="65">
        <f t="shared" si="12"/>
        <v>6220.3068750000002</v>
      </c>
      <c r="E19" s="65">
        <f t="shared" si="12"/>
        <v>0</v>
      </c>
      <c r="F19" s="65">
        <f t="shared" si="12"/>
        <v>0</v>
      </c>
      <c r="G19" s="65">
        <f t="shared" si="12"/>
        <v>0</v>
      </c>
      <c r="H19" s="65">
        <f t="shared" si="12"/>
        <v>4906.6717499999995</v>
      </c>
      <c r="I19" s="81">
        <f t="shared" si="12"/>
        <v>23669.967625000001</v>
      </c>
      <c r="K19" s="5" t="str">
        <f t="shared" si="1"/>
        <v>Total Expenses</v>
      </c>
      <c r="L19" s="17">
        <f>SUM(L10:L18)</f>
        <v>213029.708625</v>
      </c>
      <c r="M19" s="17">
        <f>SUM(M10:M18)</f>
        <v>67752.366374999998</v>
      </c>
      <c r="N19" s="41">
        <f>SUM(N10:N18)</f>
        <v>280782.07500000001</v>
      </c>
    </row>
    <row r="20" spans="1:14" ht="13.5" thickBot="1" x14ac:dyDescent="0.25">
      <c r="A20" s="8" t="s">
        <v>7</v>
      </c>
      <c r="B20" s="82">
        <f t="shared" ref="B20:I20" si="13">B8-B19</f>
        <v>-814.21399999999994</v>
      </c>
      <c r="C20" s="82">
        <f t="shared" si="13"/>
        <v>-792.77500000000055</v>
      </c>
      <c r="D20" s="82">
        <f t="shared" si="13"/>
        <v>-148.30687500000022</v>
      </c>
      <c r="E20" s="82">
        <f t="shared" si="13"/>
        <v>0</v>
      </c>
      <c r="F20" s="82">
        <f t="shared" si="13"/>
        <v>0</v>
      </c>
      <c r="G20" s="82">
        <f t="shared" si="13"/>
        <v>0</v>
      </c>
      <c r="H20" s="82">
        <f t="shared" si="13"/>
        <v>733.32825000000048</v>
      </c>
      <c r="I20" s="83">
        <f t="shared" si="13"/>
        <v>-1021.9676250000011</v>
      </c>
      <c r="J20" s="1" t="s">
        <v>10</v>
      </c>
      <c r="K20" s="27" t="s">
        <v>7</v>
      </c>
      <c r="L20" s="60">
        <f>L8-L19</f>
        <v>-9197.7086249999993</v>
      </c>
      <c r="M20" s="60">
        <f>M8-M19</f>
        <v>5663.6336250000022</v>
      </c>
      <c r="N20" s="28">
        <f>N8-N19</f>
        <v>-3534.0750000000116</v>
      </c>
    </row>
    <row r="21" spans="1:14" x14ac:dyDescent="0.2">
      <c r="A21" s="5"/>
      <c r="B21" s="6"/>
      <c r="C21" s="6"/>
      <c r="D21" s="6"/>
      <c r="E21" s="6"/>
      <c r="F21" s="6"/>
      <c r="G21" s="6"/>
      <c r="H21" s="6"/>
      <c r="I21" s="7"/>
    </row>
    <row r="22" spans="1:14" x14ac:dyDescent="0.2">
      <c r="A22" s="8" t="s">
        <v>8</v>
      </c>
      <c r="B22" s="56">
        <f t="shared" ref="B22:G22" si="14">IF(B7=0,"N/A",B19/B7)</f>
        <v>6.2397624754420429</v>
      </c>
      <c r="C22" s="56">
        <f t="shared" si="14"/>
        <v>10.708776223776225</v>
      </c>
      <c r="D22" s="56">
        <f t="shared" si="14"/>
        <v>9.0149375000000003</v>
      </c>
      <c r="E22" s="56" t="str">
        <f t="shared" si="14"/>
        <v>N/A</v>
      </c>
      <c r="F22" s="56" t="str">
        <f t="shared" si="14"/>
        <v>N/A</v>
      </c>
      <c r="G22" s="56" t="str">
        <f t="shared" si="14"/>
        <v>N/A</v>
      </c>
      <c r="H22" s="56">
        <f>IF(H7=0,"N/A",H19/H7)</f>
        <v>9.2217589627659553</v>
      </c>
      <c r="I22" s="7"/>
      <c r="J22" s="24" t="s">
        <v>10</v>
      </c>
      <c r="K22" s="24"/>
      <c r="L22" t="s">
        <v>10</v>
      </c>
    </row>
    <row r="23" spans="1:14" ht="13.5" thickBot="1" x14ac:dyDescent="0.25">
      <c r="A23" s="163" t="s">
        <v>163</v>
      </c>
      <c r="B23" s="164"/>
      <c r="C23" s="20" t="s">
        <v>10</v>
      </c>
      <c r="D23" s="20" t="s">
        <v>10</v>
      </c>
      <c r="E23" s="20"/>
      <c r="F23" s="20"/>
      <c r="G23" s="20" t="s">
        <v>10</v>
      </c>
      <c r="H23" s="20"/>
      <c r="I23" s="19"/>
    </row>
    <row r="24" spans="1:14" ht="13.5" thickBot="1" x14ac:dyDescent="0.25"/>
    <row r="25" spans="1:14" x14ac:dyDescent="0.2">
      <c r="A25" s="2" t="s">
        <v>115</v>
      </c>
      <c r="B25" s="21"/>
      <c r="C25" s="3"/>
      <c r="D25" s="3"/>
      <c r="E25" s="3"/>
      <c r="F25" s="3"/>
      <c r="G25" s="3"/>
      <c r="H25" s="3"/>
      <c r="I25" s="4"/>
    </row>
    <row r="26" spans="1:14" ht="13.5" thickBot="1" x14ac:dyDescent="0.25">
      <c r="A26" s="5"/>
      <c r="B26" s="6"/>
      <c r="C26" s="6"/>
      <c r="D26" s="6"/>
      <c r="E26" s="6"/>
      <c r="F26" s="6"/>
      <c r="G26" s="6"/>
      <c r="H26" s="6"/>
      <c r="I26" s="7"/>
    </row>
    <row r="27" spans="1:14" ht="38.25" x14ac:dyDescent="0.2">
      <c r="A27" s="132" t="str">
        <f>A3</f>
        <v>Center Name</v>
      </c>
      <c r="B27" s="124" t="str">
        <f>B3</f>
        <v>Infant Room</v>
      </c>
      <c r="C27" s="124" t="str">
        <f t="shared" ref="C27:G27" si="15">C3</f>
        <v>Toddler Room</v>
      </c>
      <c r="D27" s="124" t="str">
        <f t="shared" si="15"/>
        <v>Pre-school Room</v>
      </c>
      <c r="E27" s="124" t="str">
        <f t="shared" si="15"/>
        <v>Classroom #4</v>
      </c>
      <c r="F27" s="124" t="str">
        <f t="shared" si="15"/>
        <v>Classroom #5</v>
      </c>
      <c r="G27" s="124" t="str">
        <f t="shared" si="15"/>
        <v>Classroom #6</v>
      </c>
      <c r="H27" s="124" t="str">
        <f>'Child Care Tuition Rates'!A12</f>
        <v>Summer School Age</v>
      </c>
      <c r="I27" s="9" t="s">
        <v>0</v>
      </c>
      <c r="K27" s="25" t="s">
        <v>116</v>
      </c>
      <c r="L27" s="57" t="s">
        <v>117</v>
      </c>
      <c r="M27" s="57" t="s">
        <v>118</v>
      </c>
      <c r="N27" s="26" t="s">
        <v>0</v>
      </c>
    </row>
    <row r="28" spans="1:14" x14ac:dyDescent="0.2">
      <c r="A28" s="30" t="s">
        <v>1</v>
      </c>
      <c r="B28" s="123">
        <f t="shared" ref="B28:G28" si="16">B4</f>
        <v>8</v>
      </c>
      <c r="C28" s="123">
        <f t="shared" si="16"/>
        <v>10</v>
      </c>
      <c r="D28" s="123">
        <f t="shared" si="16"/>
        <v>10</v>
      </c>
      <c r="E28" s="123">
        <f t="shared" si="16"/>
        <v>0</v>
      </c>
      <c r="F28" s="123">
        <f t="shared" si="16"/>
        <v>0</v>
      </c>
      <c r="G28" s="123">
        <f t="shared" si="16"/>
        <v>0</v>
      </c>
      <c r="H28" s="123">
        <f>'Child Care Tuition Rates'!B12</f>
        <v>12</v>
      </c>
      <c r="I28" s="31">
        <f>SUM(B28:H28)</f>
        <v>40</v>
      </c>
      <c r="K28" s="5"/>
      <c r="L28" s="6" t="s">
        <v>10</v>
      </c>
      <c r="M28" s="6"/>
      <c r="N28" s="7"/>
    </row>
    <row r="29" spans="1:14" x14ac:dyDescent="0.2">
      <c r="A29" s="11" t="s">
        <v>2</v>
      </c>
      <c r="B29" s="12">
        <f t="shared" ref="B29:I29" si="17">B28/$I$4</f>
        <v>0.2</v>
      </c>
      <c r="C29" s="12">
        <f t="shared" si="17"/>
        <v>0.25</v>
      </c>
      <c r="D29" s="12">
        <f t="shared" si="17"/>
        <v>0.25</v>
      </c>
      <c r="E29" s="12">
        <f t="shared" si="17"/>
        <v>0</v>
      </c>
      <c r="F29" s="12">
        <f t="shared" si="17"/>
        <v>0</v>
      </c>
      <c r="G29" s="12">
        <f t="shared" si="17"/>
        <v>0</v>
      </c>
      <c r="H29" s="12">
        <f t="shared" si="17"/>
        <v>0.3</v>
      </c>
      <c r="I29" s="13">
        <f t="shared" si="17"/>
        <v>1</v>
      </c>
      <c r="K29" s="5"/>
      <c r="L29" s="6" t="s">
        <v>10</v>
      </c>
      <c r="M29" s="6" t="s">
        <v>10</v>
      </c>
      <c r="N29" s="7" t="s">
        <v>10</v>
      </c>
    </row>
    <row r="30" spans="1:14" x14ac:dyDescent="0.2">
      <c r="A30" s="8" t="s">
        <v>74</v>
      </c>
      <c r="B30" s="47">
        <f>'Cost Analysis per Unit'!D4</f>
        <v>5.2</v>
      </c>
      <c r="C30" s="47">
        <f>'Cost Analysis per Unit'!D5</f>
        <v>9.6</v>
      </c>
      <c r="D30" s="47">
        <f>'Cost Analysis per Unit'!D6</f>
        <v>8.8000000000000007</v>
      </c>
      <c r="E30" s="47">
        <f>'Cost Analysis per Unit'!D7</f>
        <v>0</v>
      </c>
      <c r="F30" s="47">
        <f>'Cost Analysis per Unit'!D8</f>
        <v>0</v>
      </c>
      <c r="G30" s="47">
        <f>'Cost Analysis per Unit'!D9</f>
        <v>0</v>
      </c>
      <c r="H30" s="47">
        <f>'Cost Analysis per Unit'!D11</f>
        <v>10.6</v>
      </c>
      <c r="I30" s="14">
        <f>SUM(B30:H30)</f>
        <v>34.200000000000003</v>
      </c>
      <c r="K30" s="5"/>
      <c r="L30" s="6" t="s">
        <v>10</v>
      </c>
      <c r="M30" s="6" t="s">
        <v>10</v>
      </c>
      <c r="N30" s="7" t="s">
        <v>10</v>
      </c>
    </row>
    <row r="31" spans="1:14" x14ac:dyDescent="0.2">
      <c r="A31" s="5" t="s">
        <v>3</v>
      </c>
      <c r="B31" s="48">
        <f>'Cost Analysis per Unit'!C15</f>
        <v>783.07692307692309</v>
      </c>
      <c r="C31" s="48">
        <f>'Cost Analysis per Unit'!C16</f>
        <v>715</v>
      </c>
      <c r="D31" s="48">
        <f>'Cost Analysis per Unit'!C17</f>
        <v>690</v>
      </c>
      <c r="E31" s="48">
        <f>'Cost Analysis per Unit'!C18</f>
        <v>0</v>
      </c>
      <c r="F31" s="48">
        <f>'Cost Analysis per Unit'!C19</f>
        <v>0</v>
      </c>
      <c r="G31" s="48">
        <f>'Cost Analysis per Unit'!C20</f>
        <v>0</v>
      </c>
      <c r="H31" s="48">
        <f>'Cost Analysis per Unit'!C22</f>
        <v>704.15094339622647</v>
      </c>
      <c r="I31" s="10"/>
      <c r="K31" s="5"/>
      <c r="L31" s="6" t="s">
        <v>10</v>
      </c>
      <c r="M31" s="6" t="s">
        <v>10</v>
      </c>
      <c r="N31" s="7" t="s">
        <v>10</v>
      </c>
    </row>
    <row r="32" spans="1:14" x14ac:dyDescent="0.2">
      <c r="A32" s="5" t="s">
        <v>4</v>
      </c>
      <c r="B32" s="15">
        <f>'Child Care Tuition Rates'!C28*4</f>
        <v>4072</v>
      </c>
      <c r="C32" s="15">
        <f>'Child Care Tuition Rates'!C29*4</f>
        <v>6864</v>
      </c>
      <c r="D32" s="15">
        <f>'Child Care Tuition Rates'!C30*4</f>
        <v>6072</v>
      </c>
      <c r="E32" s="15">
        <f>'Child Care Tuition Rates'!C31*4</f>
        <v>0</v>
      </c>
      <c r="F32" s="15">
        <f>'Child Care Tuition Rates'!C32*4</f>
        <v>0</v>
      </c>
      <c r="G32" s="15">
        <f>'Child Care Tuition Rates'!C33*4</f>
        <v>0</v>
      </c>
      <c r="H32" s="15">
        <f>'Child Care Tuition Rates'!C35*4</f>
        <v>7464</v>
      </c>
      <c r="I32" s="16">
        <f>SUM(B32:H32)</f>
        <v>24472</v>
      </c>
      <c r="K32" s="5" t="s">
        <v>146</v>
      </c>
      <c r="L32" s="15">
        <f>H8*9</f>
        <v>50760</v>
      </c>
      <c r="M32" s="15">
        <f>H32*3</f>
        <v>22392</v>
      </c>
      <c r="N32" s="16">
        <f>L32+M32</f>
        <v>73152</v>
      </c>
    </row>
    <row r="33" spans="1:14" x14ac:dyDescent="0.2">
      <c r="A33" s="5"/>
      <c r="B33" s="6"/>
      <c r="C33" s="6"/>
      <c r="D33" s="6"/>
      <c r="E33" s="6"/>
      <c r="F33" s="6"/>
      <c r="G33" s="6"/>
      <c r="H33" s="6"/>
      <c r="I33" s="7"/>
      <c r="K33" s="5"/>
      <c r="L33" s="6"/>
      <c r="M33" s="6"/>
      <c r="N33" s="7"/>
    </row>
    <row r="34" spans="1:14" x14ac:dyDescent="0.2">
      <c r="A34" s="5" t="s">
        <v>5</v>
      </c>
      <c r="B34" s="46">
        <f>'Room Staffing'!G10</f>
        <v>2700.9450000000002</v>
      </c>
      <c r="C34" s="46">
        <f>'Room Staffing'!G20</f>
        <v>4925.1887500000003</v>
      </c>
      <c r="D34" s="46">
        <f>'Room Staffing'!G30</f>
        <v>3488.7206249999999</v>
      </c>
      <c r="E34" s="46">
        <f>'Room Staffing'!G40</f>
        <v>0</v>
      </c>
      <c r="F34" s="46">
        <f>'Room Staffing'!G50</f>
        <v>0</v>
      </c>
      <c r="G34" s="46">
        <f>'Room Staffing'!G60</f>
        <v>0</v>
      </c>
      <c r="H34" s="46">
        <f>'Room Staffing'!G80</f>
        <v>542.92275000000006</v>
      </c>
      <c r="I34" s="45">
        <f>SUM(B34:H34)</f>
        <v>11657.777125000001</v>
      </c>
      <c r="K34" s="5" t="str">
        <f t="shared" ref="K34:K43" si="18">A34</f>
        <v>Child Care Wages and Benefits</v>
      </c>
      <c r="L34" s="17">
        <f t="shared" ref="L34:L42" si="19">H10*9</f>
        <v>14658.914250000002</v>
      </c>
      <c r="M34" s="58">
        <f t="shared" ref="M34:M42" si="20">H34*3</f>
        <v>1628.7682500000001</v>
      </c>
      <c r="N34" s="59">
        <f t="shared" ref="N34:N42" si="21">L34+M34</f>
        <v>16287.682500000003</v>
      </c>
    </row>
    <row r="35" spans="1:14" x14ac:dyDescent="0.2">
      <c r="A35" s="30" t="str">
        <f>'All Other Expenses'!A2</f>
        <v>Director</v>
      </c>
      <c r="B35" s="17">
        <f t="shared" ref="B35:B40" si="22">$B$29*I35</f>
        <v>835.77500000000009</v>
      </c>
      <c r="C35" s="17">
        <f t="shared" ref="C35:C40" si="23">$C$29*I35</f>
        <v>1044.71875</v>
      </c>
      <c r="D35" s="17">
        <f t="shared" ref="D35:D40" si="24">$D$29*I35</f>
        <v>1044.71875</v>
      </c>
      <c r="E35" s="17">
        <f t="shared" ref="E35:E40" si="25">$E$29*I35</f>
        <v>0</v>
      </c>
      <c r="F35" s="17">
        <f t="shared" ref="F35:F40" si="26">$F$29*I35</f>
        <v>0</v>
      </c>
      <c r="G35" s="17">
        <f t="shared" ref="G35:G40" si="27">$G$29*I35</f>
        <v>0</v>
      </c>
      <c r="H35" s="17">
        <f t="shared" ref="H35:H40" si="28">$H$29*I35</f>
        <v>1253.6624999999999</v>
      </c>
      <c r="I35" s="45">
        <f>'All Other Expenses'!I2</f>
        <v>4178.875</v>
      </c>
      <c r="K35" s="5" t="str">
        <f t="shared" si="18"/>
        <v>Director</v>
      </c>
      <c r="L35" s="17">
        <f t="shared" si="19"/>
        <v>11282.9625</v>
      </c>
      <c r="M35" s="58">
        <f t="shared" si="20"/>
        <v>3760.9874999999997</v>
      </c>
      <c r="N35" s="59">
        <f t="shared" si="21"/>
        <v>15043.949999999999</v>
      </c>
    </row>
    <row r="36" spans="1:14" x14ac:dyDescent="0.2">
      <c r="A36" s="30" t="str">
        <f>'All Other Expenses'!A3</f>
        <v>Other Staff 1</v>
      </c>
      <c r="B36" s="17">
        <f t="shared" si="22"/>
        <v>208.49400000000003</v>
      </c>
      <c r="C36" s="17">
        <f t="shared" si="23"/>
        <v>260.61750000000001</v>
      </c>
      <c r="D36" s="17">
        <f t="shared" si="24"/>
        <v>260.61750000000001</v>
      </c>
      <c r="E36" s="17">
        <f t="shared" si="25"/>
        <v>0</v>
      </c>
      <c r="F36" s="17">
        <f t="shared" si="26"/>
        <v>0</v>
      </c>
      <c r="G36" s="17">
        <f t="shared" si="27"/>
        <v>0</v>
      </c>
      <c r="H36" s="17">
        <f t="shared" si="28"/>
        <v>312.74099999999999</v>
      </c>
      <c r="I36" s="45">
        <f>'All Other Expenses'!I3</f>
        <v>1042.47</v>
      </c>
      <c r="K36" s="5" t="str">
        <f t="shared" si="18"/>
        <v>Other Staff 1</v>
      </c>
      <c r="L36" s="17">
        <f t="shared" si="19"/>
        <v>2814.6689999999999</v>
      </c>
      <c r="M36" s="58">
        <f t="shared" si="20"/>
        <v>938.22299999999996</v>
      </c>
      <c r="N36" s="59">
        <f t="shared" si="21"/>
        <v>3752.8919999999998</v>
      </c>
    </row>
    <row r="37" spans="1:14" x14ac:dyDescent="0.2">
      <c r="A37" s="30" t="str">
        <f>'All Other Expenses'!A4</f>
        <v>Other Staff 2</v>
      </c>
      <c r="B37" s="17">
        <f t="shared" si="22"/>
        <v>0</v>
      </c>
      <c r="C37" s="17">
        <f t="shared" si="23"/>
        <v>0</v>
      </c>
      <c r="D37" s="17">
        <f t="shared" si="24"/>
        <v>0</v>
      </c>
      <c r="E37" s="17">
        <f t="shared" si="25"/>
        <v>0</v>
      </c>
      <c r="F37" s="17">
        <f t="shared" si="26"/>
        <v>0</v>
      </c>
      <c r="G37" s="17">
        <f t="shared" si="27"/>
        <v>0</v>
      </c>
      <c r="H37" s="17">
        <f t="shared" si="28"/>
        <v>0</v>
      </c>
      <c r="I37" s="45">
        <f>'All Other Expenses'!I4</f>
        <v>0</v>
      </c>
      <c r="K37" s="5" t="str">
        <f t="shared" si="18"/>
        <v>Other Staff 2</v>
      </c>
      <c r="L37" s="17">
        <f t="shared" si="19"/>
        <v>0</v>
      </c>
      <c r="M37" s="58">
        <f t="shared" si="20"/>
        <v>0</v>
      </c>
      <c r="N37" s="59">
        <f t="shared" si="21"/>
        <v>0</v>
      </c>
    </row>
    <row r="38" spans="1:14" x14ac:dyDescent="0.2">
      <c r="A38" s="30" t="str">
        <f>'All Other Expenses'!A5</f>
        <v>Other Staff 3</v>
      </c>
      <c r="B38" s="17">
        <f t="shared" si="22"/>
        <v>0</v>
      </c>
      <c r="C38" s="17">
        <f t="shared" si="23"/>
        <v>0</v>
      </c>
      <c r="D38" s="17">
        <f t="shared" si="24"/>
        <v>0</v>
      </c>
      <c r="E38" s="17">
        <f t="shared" si="25"/>
        <v>0</v>
      </c>
      <c r="F38" s="17">
        <f t="shared" si="26"/>
        <v>0</v>
      </c>
      <c r="G38" s="17">
        <f t="shared" si="27"/>
        <v>0</v>
      </c>
      <c r="H38" s="17">
        <f t="shared" si="28"/>
        <v>0</v>
      </c>
      <c r="I38" s="45">
        <f>'All Other Expenses'!I5</f>
        <v>0</v>
      </c>
      <c r="K38" s="5" t="str">
        <f t="shared" si="18"/>
        <v>Other Staff 3</v>
      </c>
      <c r="L38" s="17">
        <f t="shared" si="19"/>
        <v>0</v>
      </c>
      <c r="M38" s="58">
        <f t="shared" si="20"/>
        <v>0</v>
      </c>
      <c r="N38" s="59">
        <f t="shared" si="21"/>
        <v>0</v>
      </c>
    </row>
    <row r="39" spans="1:14" x14ac:dyDescent="0.2">
      <c r="A39" s="30" t="str">
        <f>'All Other Expenses'!A6</f>
        <v>Other Staff 4</v>
      </c>
      <c r="B39" s="17">
        <f t="shared" si="22"/>
        <v>0</v>
      </c>
      <c r="C39" s="17">
        <f t="shared" si="23"/>
        <v>0</v>
      </c>
      <c r="D39" s="17">
        <f t="shared" si="24"/>
        <v>0</v>
      </c>
      <c r="E39" s="17">
        <f t="shared" si="25"/>
        <v>0</v>
      </c>
      <c r="F39" s="17">
        <f t="shared" si="26"/>
        <v>0</v>
      </c>
      <c r="G39" s="17">
        <f t="shared" si="27"/>
        <v>0</v>
      </c>
      <c r="H39" s="17">
        <f t="shared" si="28"/>
        <v>0</v>
      </c>
      <c r="I39" s="45">
        <f>'All Other Expenses'!I6+'All Other Expenses'!I7</f>
        <v>0</v>
      </c>
      <c r="K39" s="5" t="str">
        <f t="shared" si="18"/>
        <v>Other Staff 4</v>
      </c>
      <c r="L39" s="17">
        <f t="shared" si="19"/>
        <v>0</v>
      </c>
      <c r="M39" s="58">
        <f t="shared" si="20"/>
        <v>0</v>
      </c>
      <c r="N39" s="59">
        <f t="shared" si="21"/>
        <v>0</v>
      </c>
    </row>
    <row r="40" spans="1:14" x14ac:dyDescent="0.2">
      <c r="A40" s="5" t="s">
        <v>16</v>
      </c>
      <c r="B40" s="17">
        <f t="shared" si="22"/>
        <v>420</v>
      </c>
      <c r="C40" s="17">
        <f t="shared" si="23"/>
        <v>525</v>
      </c>
      <c r="D40" s="17">
        <f t="shared" si="24"/>
        <v>525</v>
      </c>
      <c r="E40" s="17">
        <f t="shared" si="25"/>
        <v>0</v>
      </c>
      <c r="F40" s="17">
        <f t="shared" si="26"/>
        <v>0</v>
      </c>
      <c r="G40" s="17">
        <f t="shared" si="27"/>
        <v>0</v>
      </c>
      <c r="H40" s="17">
        <f t="shared" si="28"/>
        <v>630</v>
      </c>
      <c r="I40" s="45">
        <f>'All Other Expenses'!B22+'All Other Expenses'!B27</f>
        <v>2100</v>
      </c>
      <c r="K40" s="5" t="str">
        <f t="shared" si="18"/>
        <v>Occupancy</v>
      </c>
      <c r="L40" s="17">
        <f t="shared" si="19"/>
        <v>5670</v>
      </c>
      <c r="M40" s="58">
        <f t="shared" si="20"/>
        <v>1890</v>
      </c>
      <c r="N40" s="59">
        <f t="shared" si="21"/>
        <v>7560</v>
      </c>
    </row>
    <row r="41" spans="1:14" x14ac:dyDescent="0.2">
      <c r="A41" s="53" t="s">
        <v>86</v>
      </c>
      <c r="B41" s="32">
        <v>0</v>
      </c>
      <c r="C41" s="32">
        <v>0</v>
      </c>
      <c r="D41" s="32">
        <v>0</v>
      </c>
      <c r="E41" s="32">
        <v>0</v>
      </c>
      <c r="F41" s="32">
        <v>0</v>
      </c>
      <c r="G41" s="32">
        <v>0</v>
      </c>
      <c r="H41" s="32">
        <v>0</v>
      </c>
      <c r="I41" s="45">
        <f>SUM(B41:H41)</f>
        <v>0</v>
      </c>
      <c r="K41" s="5" t="str">
        <f t="shared" si="18"/>
        <v>Teacher Tuition Discounts</v>
      </c>
      <c r="L41" s="17">
        <f t="shared" si="19"/>
        <v>0</v>
      </c>
      <c r="M41" s="58">
        <f t="shared" si="20"/>
        <v>0</v>
      </c>
      <c r="N41" s="59">
        <f t="shared" si="21"/>
        <v>0</v>
      </c>
    </row>
    <row r="42" spans="1:14" x14ac:dyDescent="0.2">
      <c r="A42" s="5" t="s">
        <v>85</v>
      </c>
      <c r="B42" s="17">
        <f>$B$5*I42</f>
        <v>721</v>
      </c>
      <c r="C42" s="17">
        <f>$C$5*I42</f>
        <v>901.25</v>
      </c>
      <c r="D42" s="17">
        <f>$D$5*I42</f>
        <v>901.25</v>
      </c>
      <c r="E42" s="17">
        <f>$E$5*I42</f>
        <v>0</v>
      </c>
      <c r="F42" s="17">
        <f>$F$5*I42</f>
        <v>0</v>
      </c>
      <c r="G42" s="17">
        <f>$G$5*I42</f>
        <v>0</v>
      </c>
      <c r="H42" s="17">
        <f>$H$5*I42</f>
        <v>1081.5</v>
      </c>
      <c r="I42" s="45">
        <f>'All Other Expenses'!B37-I40</f>
        <v>3605</v>
      </c>
      <c r="K42" s="5" t="str">
        <f t="shared" si="18"/>
        <v>All Other Expenses</v>
      </c>
      <c r="L42" s="17">
        <f t="shared" si="19"/>
        <v>9733.5</v>
      </c>
      <c r="M42" s="58">
        <f t="shared" si="20"/>
        <v>3244.5</v>
      </c>
      <c r="N42" s="59">
        <f t="shared" si="21"/>
        <v>12978</v>
      </c>
    </row>
    <row r="43" spans="1:14" x14ac:dyDescent="0.2">
      <c r="A43" s="5" t="s">
        <v>6</v>
      </c>
      <c r="B43" s="65">
        <f t="shared" ref="B43:I43" si="29">SUM(B34:B42)</f>
        <v>4886.2139999999999</v>
      </c>
      <c r="C43" s="65">
        <f t="shared" si="29"/>
        <v>7656.7750000000005</v>
      </c>
      <c r="D43" s="65">
        <f t="shared" si="29"/>
        <v>6220.3068750000002</v>
      </c>
      <c r="E43" s="65">
        <f t="shared" si="29"/>
        <v>0</v>
      </c>
      <c r="F43" s="65">
        <f t="shared" si="29"/>
        <v>0</v>
      </c>
      <c r="G43" s="65">
        <f t="shared" si="29"/>
        <v>0</v>
      </c>
      <c r="H43" s="65">
        <f t="shared" si="29"/>
        <v>3820.8262500000001</v>
      </c>
      <c r="I43" s="81">
        <f t="shared" si="29"/>
        <v>22584.122125000002</v>
      </c>
      <c r="K43" s="5" t="str">
        <f t="shared" si="18"/>
        <v>Total Expenses</v>
      </c>
      <c r="L43" s="15">
        <f>SUM(L34:L42)</f>
        <v>44160.045750000005</v>
      </c>
      <c r="M43" s="15">
        <f>SUM(M34:M42)</f>
        <v>11462.47875</v>
      </c>
      <c r="N43" s="16">
        <f>SUM(N34:N42)</f>
        <v>55622.5245</v>
      </c>
    </row>
    <row r="44" spans="1:14" ht="13.5" thickBot="1" x14ac:dyDescent="0.25">
      <c r="A44" s="8" t="s">
        <v>7</v>
      </c>
      <c r="B44" s="82">
        <f t="shared" ref="B44:I44" si="30">B32-B43</f>
        <v>-814.21399999999994</v>
      </c>
      <c r="C44" s="82">
        <f t="shared" si="30"/>
        <v>-792.77500000000055</v>
      </c>
      <c r="D44" s="82">
        <f t="shared" si="30"/>
        <v>-148.30687500000022</v>
      </c>
      <c r="E44" s="82">
        <f t="shared" si="30"/>
        <v>0</v>
      </c>
      <c r="F44" s="82">
        <f t="shared" si="30"/>
        <v>0</v>
      </c>
      <c r="G44" s="82">
        <f t="shared" si="30"/>
        <v>0</v>
      </c>
      <c r="H44" s="82">
        <f t="shared" si="30"/>
        <v>3643.1737499999999</v>
      </c>
      <c r="I44" s="83">
        <f t="shared" si="30"/>
        <v>1887.8778749999983</v>
      </c>
      <c r="K44" s="27" t="s">
        <v>7</v>
      </c>
      <c r="L44" s="60">
        <f>L32-L43</f>
        <v>6599.9542499999952</v>
      </c>
      <c r="M44" s="60">
        <f>M32-M43</f>
        <v>10929.52125</v>
      </c>
      <c r="N44" s="28">
        <f>N32-N43</f>
        <v>17529.4755</v>
      </c>
    </row>
    <row r="45" spans="1:14" ht="13.5" thickBot="1" x14ac:dyDescent="0.25">
      <c r="A45" s="5"/>
      <c r="B45" s="6"/>
      <c r="C45" s="6"/>
      <c r="D45" s="6"/>
      <c r="E45" s="6"/>
      <c r="F45" s="6"/>
      <c r="G45" s="6"/>
      <c r="H45" s="6"/>
      <c r="I45" s="7"/>
    </row>
    <row r="46" spans="1:14" x14ac:dyDescent="0.2">
      <c r="A46" s="8" t="s">
        <v>8</v>
      </c>
      <c r="B46" s="56">
        <f t="shared" ref="B46:G46" si="31">IF(B31=0,"N/A",B43/B31)</f>
        <v>6.2397624754420429</v>
      </c>
      <c r="C46" s="56">
        <f t="shared" si="31"/>
        <v>10.708776223776225</v>
      </c>
      <c r="D46" s="56">
        <f t="shared" si="31"/>
        <v>9.0149375000000003</v>
      </c>
      <c r="E46" s="56" t="str">
        <f t="shared" si="31"/>
        <v>N/A</v>
      </c>
      <c r="F46" s="56" t="str">
        <f t="shared" si="31"/>
        <v>N/A</v>
      </c>
      <c r="G46" s="56" t="str">
        <f t="shared" si="31"/>
        <v>N/A</v>
      </c>
      <c r="H46" s="56">
        <f>IF(H31=0,"N/A",H43/H31)</f>
        <v>5.4261466036977488</v>
      </c>
      <c r="I46" s="7"/>
      <c r="K46" s="61" t="s">
        <v>119</v>
      </c>
      <c r="L46" s="3"/>
      <c r="M46" s="3"/>
      <c r="N46" s="4"/>
    </row>
    <row r="47" spans="1:14" ht="13.5" thickBot="1" x14ac:dyDescent="0.25">
      <c r="A47" s="18" t="s">
        <v>9</v>
      </c>
      <c r="B47" s="29" t="s">
        <v>10</v>
      </c>
      <c r="C47" s="20" t="s">
        <v>10</v>
      </c>
      <c r="D47" s="20" t="s">
        <v>10</v>
      </c>
      <c r="E47" s="20"/>
      <c r="F47" s="20"/>
      <c r="G47" s="20" t="s">
        <v>10</v>
      </c>
      <c r="H47" s="20"/>
      <c r="I47" s="19"/>
      <c r="K47" s="62" t="s">
        <v>124</v>
      </c>
      <c r="L47" s="58">
        <f>L44</f>
        <v>6599.9542499999952</v>
      </c>
      <c r="M47" s="6"/>
      <c r="N47" s="7"/>
    </row>
    <row r="48" spans="1:14" x14ac:dyDescent="0.2">
      <c r="K48" s="62"/>
      <c r="L48" s="58"/>
      <c r="M48" s="6"/>
      <c r="N48" s="7"/>
    </row>
    <row r="49" spans="1:14" ht="24" x14ac:dyDescent="0.2">
      <c r="K49" s="63" t="s">
        <v>120</v>
      </c>
      <c r="L49" s="17">
        <f>-L47/3</f>
        <v>-2199.9847499999983</v>
      </c>
      <c r="M49" s="6" t="s">
        <v>10</v>
      </c>
      <c r="N49" s="7"/>
    </row>
    <row r="50" spans="1:14" ht="24" x14ac:dyDescent="0.2">
      <c r="A50" s="161" t="s">
        <v>151</v>
      </c>
      <c r="B50" s="161"/>
      <c r="C50" s="161"/>
      <c r="D50" s="161"/>
      <c r="E50" s="161"/>
      <c r="F50" s="161"/>
      <c r="G50" s="161"/>
      <c r="H50" s="161"/>
      <c r="I50" s="161"/>
      <c r="K50" s="63" t="s">
        <v>121</v>
      </c>
      <c r="L50" s="64">
        <f>H43</f>
        <v>3820.8262500000001</v>
      </c>
      <c r="M50" s="6"/>
      <c r="N50" s="7"/>
    </row>
    <row r="51" spans="1:14" x14ac:dyDescent="0.2">
      <c r="A51" s="162" t="s">
        <v>152</v>
      </c>
      <c r="B51" s="162"/>
      <c r="C51" s="162"/>
      <c r="D51" s="162"/>
      <c r="E51" s="162"/>
      <c r="F51" s="162"/>
      <c r="G51" s="162"/>
      <c r="H51" s="162"/>
      <c r="I51" s="162"/>
      <c r="K51" s="62" t="s">
        <v>0</v>
      </c>
      <c r="L51" s="65">
        <f>L49+L50</f>
        <v>1620.8415000000018</v>
      </c>
      <c r="M51" s="6"/>
      <c r="N51" s="7"/>
    </row>
    <row r="52" spans="1:14" x14ac:dyDescent="0.2">
      <c r="A52" s="162"/>
      <c r="B52" s="162"/>
      <c r="C52" s="162"/>
      <c r="D52" s="162"/>
      <c r="E52" s="162"/>
      <c r="F52" s="162"/>
      <c r="G52" s="162"/>
      <c r="H52" s="162"/>
      <c r="I52" s="162"/>
      <c r="K52" s="62" t="s">
        <v>122</v>
      </c>
      <c r="L52" s="65">
        <f>H31</f>
        <v>704.15094339622647</v>
      </c>
      <c r="M52" s="6"/>
      <c r="N52" s="7"/>
    </row>
    <row r="53" spans="1:14" ht="13.5" thickBot="1" x14ac:dyDescent="0.25">
      <c r="A53" s="162" t="s">
        <v>153</v>
      </c>
      <c r="B53" s="162"/>
      <c r="C53" s="162"/>
      <c r="D53" s="162"/>
      <c r="E53" s="162"/>
      <c r="F53" s="162"/>
      <c r="G53" s="162"/>
      <c r="H53" s="162"/>
      <c r="I53" s="162"/>
      <c r="K53" s="66" t="s">
        <v>123</v>
      </c>
      <c r="L53" s="69">
        <f>IF(L51=0, "N/A",L51/L52)</f>
        <v>2.3018381430868193</v>
      </c>
      <c r="M53" s="67"/>
      <c r="N53" s="68"/>
    </row>
  </sheetData>
  <mergeCells count="5">
    <mergeCell ref="A50:I50"/>
    <mergeCell ref="A51:I51"/>
    <mergeCell ref="A53:I53"/>
    <mergeCell ref="A52:I52"/>
    <mergeCell ref="A23:B23"/>
  </mergeCells>
  <phoneticPr fontId="4" type="noConversion"/>
  <hyperlinks>
    <hyperlink ref="A50" r:id="rId1" display="http://www.firstchildrensfinance.org/" xr:uid="{00000000-0004-0000-0500-000000000000}"/>
  </hyperlinks>
  <printOptions gridLines="1"/>
  <pageMargins left="0.36" right="0.28000000000000003" top="0.48" bottom="0.67" header="0.19" footer="0.16"/>
  <pageSetup scale="69" orientation="landscape" r:id="rId2"/>
  <headerFooter alignWithMargins="0">
    <oddHeader>&amp;C&amp;"Arial,Bold"&amp;11&amp;A</oddHeader>
    <oddFooter>&amp;L
&amp;G&amp;Cwww.FirstChildrensFinance.org
1-866-562-6801</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Room Staffing</vt:lpstr>
      <vt:lpstr>All Other Expenses</vt:lpstr>
      <vt:lpstr>Child Care Tuition Rates</vt:lpstr>
      <vt:lpstr>Cost Analysis per Unit</vt:lpstr>
      <vt:lpstr>Breakeven</vt:lpstr>
      <vt:lpstr>Breakeven!Print_Area</vt:lpstr>
      <vt:lpstr>'Child Care Tuition Rates'!Print_Area</vt:lpstr>
      <vt:lpstr>'Cost Analysis per Unit'!Print_Area</vt:lpstr>
    </vt:vector>
  </TitlesOfParts>
  <Company>Development Corporation for Children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First Children's Finance</dc:creator>
  <cp:lastModifiedBy>Julie McConnell</cp:lastModifiedBy>
  <cp:lastPrinted>2010-02-16T00:54:36Z</cp:lastPrinted>
  <dcterms:created xsi:type="dcterms:W3CDTF">2009-02-17T22:32:50Z</dcterms:created>
  <dcterms:modified xsi:type="dcterms:W3CDTF">2019-03-26T14:48:20Z</dcterms:modified>
</cp:coreProperties>
</file>